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F:\"/>
    </mc:Choice>
  </mc:AlternateContent>
  <xr:revisionPtr revIDLastSave="0" documentId="8_{C3A972F2-BE65-41BC-ADB7-801D439A1AD2}" xr6:coauthVersionLast="47" xr6:coauthVersionMax="47" xr10:uidLastSave="{00000000-0000-0000-0000-000000000000}"/>
  <bookViews>
    <workbookView xWindow="-120" yWindow="-120" windowWidth="29040" windowHeight="15840" tabRatio="656" activeTab="2" xr2:uid="{00000000-000D-0000-FFFF-FFFF00000000}"/>
  </bookViews>
  <sheets>
    <sheet name="Instructions" sheetId="6" r:id="rId1"/>
    <sheet name="Fertilizer Cost Calculator" sheetId="7" r:id="rId2"/>
    <sheet name="Corn" sheetId="1" r:id="rId3"/>
    <sheet name="Corn Silage" sheetId="15" r:id="rId4"/>
    <sheet name="Soybeans" sheetId="12" r:id="rId5"/>
    <sheet name="Small Grain" sheetId="11" r:id="rId6"/>
    <sheet name="Seeding Year Haylage" sheetId="9" r:id="rId7"/>
    <sheet name="Established Haylage" sheetId="20" r:id="rId8"/>
    <sheet name="Seeding Year Hay" sheetId="21" r:id="rId9"/>
    <sheet name="Established Hay" sheetId="22" r:id="rId10"/>
    <sheet name="Annual Forage Crop" sheetId="23" r:id="rId11"/>
    <sheet name="Winter Cereal Rye " sheetId="27" r:id="rId12"/>
    <sheet name="Cool Season Cocktail Mix" sheetId="25" r:id="rId13"/>
    <sheet name="Summer Warm Season Cocktail Mix" sheetId="28" r:id="rId14"/>
    <sheet name="Late-Summer Seeded Oats &amp; Peas" sheetId="24" r:id="rId15"/>
  </sheets>
  <definedNames>
    <definedName name="_xlnm.Print_Area" localSheetId="2">Corn!$A$1:$F$148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1" i="28" l="1"/>
  <c r="F211" i="28"/>
  <c r="E211" i="28"/>
  <c r="D211" i="28"/>
  <c r="C211" i="28"/>
  <c r="B210" i="28"/>
  <c r="B209" i="28"/>
  <c r="B208" i="28"/>
  <c r="B207" i="28"/>
  <c r="B206" i="28"/>
  <c r="E189" i="28"/>
  <c r="E184" i="28"/>
  <c r="E182" i="28"/>
  <c r="E181" i="28"/>
  <c r="E180" i="28"/>
  <c r="E175" i="28"/>
  <c r="E171" i="28"/>
  <c r="E170" i="28"/>
  <c r="E169" i="28"/>
  <c r="E168" i="28"/>
  <c r="E167" i="28"/>
  <c r="E166" i="28"/>
  <c r="E165" i="28"/>
  <c r="E172" i="28" s="1"/>
  <c r="E161" i="28"/>
  <c r="E160" i="28"/>
  <c r="E159" i="28"/>
  <c r="E158" i="28"/>
  <c r="E157" i="28"/>
  <c r="E156" i="28"/>
  <c r="E155" i="28"/>
  <c r="E151" i="28"/>
  <c r="E150" i="28"/>
  <c r="E149" i="28"/>
  <c r="E148" i="28"/>
  <c r="E147" i="28"/>
  <c r="E146" i="28"/>
  <c r="E145" i="28"/>
  <c r="E144" i="28"/>
  <c r="E140" i="28"/>
  <c r="E139" i="28"/>
  <c r="E138" i="28"/>
  <c r="E137" i="28"/>
  <c r="E136" i="28"/>
  <c r="E135" i="28"/>
  <c r="E134" i="28"/>
  <c r="E133" i="28"/>
  <c r="E129" i="28"/>
  <c r="E128" i="28"/>
  <c r="E125" i="28"/>
  <c r="E124" i="28"/>
  <c r="E123" i="28"/>
  <c r="E122" i="28"/>
  <c r="E121" i="28"/>
  <c r="E120" i="28"/>
  <c r="E114" i="28"/>
  <c r="E105" i="28"/>
  <c r="E106" i="28" s="1"/>
  <c r="E100" i="28"/>
  <c r="E72" i="28"/>
  <c r="E70" i="28"/>
  <c r="E69" i="28"/>
  <c r="E67" i="28"/>
  <c r="E66" i="28"/>
  <c r="E65" i="28"/>
  <c r="E64" i="28"/>
  <c r="E58" i="28"/>
  <c r="E56" i="28"/>
  <c r="E53" i="28"/>
  <c r="E52" i="28"/>
  <c r="E51" i="28"/>
  <c r="E43" i="28"/>
  <c r="E41" i="28"/>
  <c r="E37" i="28"/>
  <c r="E36" i="28"/>
  <c r="E35" i="28"/>
  <c r="E34" i="28"/>
  <c r="E30" i="28"/>
  <c r="E29" i="28"/>
  <c r="E28" i="28"/>
  <c r="E27" i="28"/>
  <c r="E24" i="28"/>
  <c r="C17" i="28"/>
  <c r="L16" i="28"/>
  <c r="C16" i="28"/>
  <c r="E176" i="28" s="1"/>
  <c r="E15" i="28"/>
  <c r="E14" i="28"/>
  <c r="G211" i="27"/>
  <c r="F211" i="27"/>
  <c r="E211" i="27"/>
  <c r="D211" i="27"/>
  <c r="C211" i="27"/>
  <c r="B210" i="27"/>
  <c r="B209" i="27"/>
  <c r="B208" i="27"/>
  <c r="B207" i="27"/>
  <c r="B206" i="27"/>
  <c r="E189" i="27"/>
  <c r="E184" i="27"/>
  <c r="E182" i="27"/>
  <c r="E181" i="27"/>
  <c r="E180" i="27"/>
  <c r="E175" i="27"/>
  <c r="E171" i="27"/>
  <c r="E170" i="27"/>
  <c r="E169" i="27"/>
  <c r="E168" i="27"/>
  <c r="E167" i="27"/>
  <c r="E166" i="27"/>
  <c r="E165" i="27"/>
  <c r="E161" i="27"/>
  <c r="E160" i="27"/>
  <c r="E159" i="27"/>
  <c r="E158" i="27"/>
  <c r="E157" i="27"/>
  <c r="E156" i="27"/>
  <c r="E155" i="27"/>
  <c r="E151" i="27"/>
  <c r="E150" i="27"/>
  <c r="E149" i="27"/>
  <c r="E148" i="27"/>
  <c r="E147" i="27"/>
  <c r="E146" i="27"/>
  <c r="E145" i="27"/>
  <c r="E144" i="27"/>
  <c r="E140" i="27"/>
  <c r="E139" i="27"/>
  <c r="E138" i="27"/>
  <c r="E137" i="27"/>
  <c r="E136" i="27"/>
  <c r="E135" i="27"/>
  <c r="E134" i="27"/>
  <c r="E133" i="27"/>
  <c r="E129" i="27"/>
  <c r="E128" i="27"/>
  <c r="E125" i="27"/>
  <c r="E124" i="27"/>
  <c r="E123" i="27"/>
  <c r="E122" i="27"/>
  <c r="E121" i="27"/>
  <c r="E120" i="27"/>
  <c r="E114" i="27"/>
  <c r="E105" i="27"/>
  <c r="E106" i="27" s="1"/>
  <c r="E100" i="27"/>
  <c r="E72" i="27"/>
  <c r="E70" i="27"/>
  <c r="E69" i="27"/>
  <c r="E67" i="27"/>
  <c r="E66" i="27"/>
  <c r="E65" i="27"/>
  <c r="E64" i="27"/>
  <c r="E73" i="27" s="1"/>
  <c r="E58" i="27"/>
  <c r="E56" i="27"/>
  <c r="E53" i="27"/>
  <c r="E52" i="27"/>
  <c r="E51" i="27"/>
  <c r="E43" i="27"/>
  <c r="E41" i="27"/>
  <c r="E37" i="27"/>
  <c r="E36" i="27"/>
  <c r="E35" i="27"/>
  <c r="E34" i="27"/>
  <c r="E30" i="27"/>
  <c r="E29" i="27"/>
  <c r="E28" i="27"/>
  <c r="E27" i="27"/>
  <c r="E24" i="27"/>
  <c r="C17" i="27"/>
  <c r="L16" i="27"/>
  <c r="C16" i="27"/>
  <c r="E176" i="27" s="1"/>
  <c r="E15" i="27"/>
  <c r="E14" i="27"/>
  <c r="E18" i="27" s="1"/>
  <c r="E172" i="27" l="1"/>
  <c r="E73" i="28"/>
  <c r="E141" i="28"/>
  <c r="E152" i="28"/>
  <c r="E162" i="28"/>
  <c r="E60" i="28"/>
  <c r="E116" i="28" s="1"/>
  <c r="E130" i="28"/>
  <c r="E177" i="28"/>
  <c r="E18" i="28"/>
  <c r="E130" i="27"/>
  <c r="E141" i="27"/>
  <c r="E152" i="27"/>
  <c r="E162" i="27"/>
  <c r="E60" i="27"/>
  <c r="E116" i="27" s="1"/>
  <c r="E186" i="27"/>
  <c r="E194" i="27"/>
  <c r="G211" i="25"/>
  <c r="F211" i="25"/>
  <c r="E211" i="25"/>
  <c r="D211" i="25"/>
  <c r="C211" i="25"/>
  <c r="B210" i="25"/>
  <c r="B209" i="25"/>
  <c r="B208" i="25"/>
  <c r="B207" i="25"/>
  <c r="B206" i="25"/>
  <c r="E189" i="25"/>
  <c r="E184" i="25"/>
  <c r="E182" i="25"/>
  <c r="E181" i="25"/>
  <c r="E180" i="25"/>
  <c r="E175" i="25"/>
  <c r="E171" i="25"/>
  <c r="E170" i="25"/>
  <c r="E169" i="25"/>
  <c r="E168" i="25"/>
  <c r="E167" i="25"/>
  <c r="E166" i="25"/>
  <c r="E165" i="25"/>
  <c r="E161" i="25"/>
  <c r="E160" i="25"/>
  <c r="E159" i="25"/>
  <c r="E158" i="25"/>
  <c r="E157" i="25"/>
  <c r="E156" i="25"/>
  <c r="E155" i="25"/>
  <c r="E151" i="25"/>
  <c r="E150" i="25"/>
  <c r="E149" i="25"/>
  <c r="E148" i="25"/>
  <c r="E147" i="25"/>
  <c r="E146" i="25"/>
  <c r="E145" i="25"/>
  <c r="E144" i="25"/>
  <c r="E140" i="25"/>
  <c r="E139" i="25"/>
  <c r="E138" i="25"/>
  <c r="E137" i="25"/>
  <c r="E136" i="25"/>
  <c r="E135" i="25"/>
  <c r="E134" i="25"/>
  <c r="E133" i="25"/>
  <c r="E129" i="25"/>
  <c r="E128" i="25"/>
  <c r="E125" i="25"/>
  <c r="E124" i="25"/>
  <c r="E123" i="25"/>
  <c r="E122" i="25"/>
  <c r="E121" i="25"/>
  <c r="E120" i="25"/>
  <c r="E114" i="25"/>
  <c r="E105" i="25"/>
  <c r="E106" i="25" s="1"/>
  <c r="E100" i="25"/>
  <c r="E72" i="25"/>
  <c r="E70" i="25"/>
  <c r="E69" i="25"/>
  <c r="E67" i="25"/>
  <c r="E66" i="25"/>
  <c r="E65" i="25"/>
  <c r="E64" i="25"/>
  <c r="E73" i="25" s="1"/>
  <c r="E58" i="25"/>
  <c r="E56" i="25"/>
  <c r="E53" i="25"/>
  <c r="E52" i="25"/>
  <c r="E51" i="25"/>
  <c r="E43" i="25"/>
  <c r="E41" i="25"/>
  <c r="E37" i="25"/>
  <c r="E36" i="25"/>
  <c r="E35" i="25"/>
  <c r="E34" i="25"/>
  <c r="E30" i="25"/>
  <c r="E29" i="25"/>
  <c r="E28" i="25"/>
  <c r="E27" i="25"/>
  <c r="E24" i="25"/>
  <c r="C17" i="25"/>
  <c r="L16" i="25"/>
  <c r="C16" i="25"/>
  <c r="E176" i="25" s="1"/>
  <c r="E15" i="25"/>
  <c r="E14" i="25"/>
  <c r="G211" i="24"/>
  <c r="F211" i="24"/>
  <c r="E211" i="24"/>
  <c r="D211" i="24"/>
  <c r="C211" i="24"/>
  <c r="B210" i="24"/>
  <c r="B209" i="24"/>
  <c r="B208" i="24"/>
  <c r="B207" i="24"/>
  <c r="B206" i="24"/>
  <c r="E189" i="24"/>
  <c r="E184" i="24"/>
  <c r="E182" i="24"/>
  <c r="E181" i="24"/>
  <c r="E180" i="24"/>
  <c r="E175" i="24"/>
  <c r="E171" i="24"/>
  <c r="E170" i="24"/>
  <c r="E169" i="24"/>
  <c r="E168" i="24"/>
  <c r="E167" i="24"/>
  <c r="E166" i="24"/>
  <c r="E165" i="24"/>
  <c r="E161" i="24"/>
  <c r="E160" i="24"/>
  <c r="E159" i="24"/>
  <c r="E158" i="24"/>
  <c r="E157" i="24"/>
  <c r="E156" i="24"/>
  <c r="E155" i="24"/>
  <c r="E151" i="24"/>
  <c r="E150" i="24"/>
  <c r="E149" i="24"/>
  <c r="E148" i="24"/>
  <c r="E147" i="24"/>
  <c r="E146" i="24"/>
  <c r="E145" i="24"/>
  <c r="E144" i="24"/>
  <c r="E140" i="24"/>
  <c r="E139" i="24"/>
  <c r="E138" i="24"/>
  <c r="E137" i="24"/>
  <c r="E136" i="24"/>
  <c r="E135" i="24"/>
  <c r="E134" i="24"/>
  <c r="E133" i="24"/>
  <c r="E129" i="24"/>
  <c r="E128" i="24"/>
  <c r="E125" i="24"/>
  <c r="E124" i="24"/>
  <c r="E123" i="24"/>
  <c r="E122" i="24"/>
  <c r="E121" i="24"/>
  <c r="E120" i="24"/>
  <c r="E114" i="24"/>
  <c r="E105" i="24"/>
  <c r="E106" i="24" s="1"/>
  <c r="E100" i="24"/>
  <c r="E72" i="24"/>
  <c r="E70" i="24"/>
  <c r="E69" i="24"/>
  <c r="E67" i="24"/>
  <c r="E66" i="24"/>
  <c r="E65" i="24"/>
  <c r="E64" i="24"/>
  <c r="E58" i="24"/>
  <c r="E56" i="24"/>
  <c r="E53" i="24"/>
  <c r="E52" i="24"/>
  <c r="E51" i="24"/>
  <c r="E43" i="24"/>
  <c r="E41" i="24"/>
  <c r="E37" i="24"/>
  <c r="E36" i="24"/>
  <c r="E35" i="24"/>
  <c r="E34" i="24"/>
  <c r="E30" i="24"/>
  <c r="E29" i="24"/>
  <c r="E28" i="24"/>
  <c r="E27" i="24"/>
  <c r="E24" i="24"/>
  <c r="C17" i="24"/>
  <c r="L16" i="24"/>
  <c r="C16" i="24"/>
  <c r="E176" i="24" s="1"/>
  <c r="E15" i="24"/>
  <c r="E14" i="24"/>
  <c r="E172" i="25" l="1"/>
  <c r="E192" i="28"/>
  <c r="E195" i="28" s="1"/>
  <c r="D209" i="28" s="1"/>
  <c r="E177" i="27"/>
  <c r="E192" i="27"/>
  <c r="E186" i="28"/>
  <c r="E194" i="28"/>
  <c r="E18" i="25"/>
  <c r="E186" i="25" s="1"/>
  <c r="E141" i="25"/>
  <c r="E130" i="25"/>
  <c r="E162" i="25"/>
  <c r="E130" i="24"/>
  <c r="E141" i="24"/>
  <c r="E152" i="24"/>
  <c r="E172" i="24"/>
  <c r="E162" i="24"/>
  <c r="E152" i="25"/>
  <c r="E60" i="25"/>
  <c r="E116" i="25" s="1"/>
  <c r="E192" i="25" s="1"/>
  <c r="E73" i="24"/>
  <c r="E60" i="24"/>
  <c r="E18" i="24"/>
  <c r="E186" i="24" s="1"/>
  <c r="E177" i="25" l="1"/>
  <c r="E194" i="25"/>
  <c r="D210" i="28"/>
  <c r="F208" i="28"/>
  <c r="F209" i="28"/>
  <c r="G210" i="28"/>
  <c r="D206" i="28"/>
  <c r="E210" i="28"/>
  <c r="C210" i="28"/>
  <c r="G209" i="28"/>
  <c r="E207" i="28"/>
  <c r="E208" i="28"/>
  <c r="C209" i="28"/>
  <c r="E209" i="28"/>
  <c r="G207" i="28"/>
  <c r="G206" i="28"/>
  <c r="E196" i="28"/>
  <c r="F207" i="28"/>
  <c r="C207" i="28"/>
  <c r="C206" i="28"/>
  <c r="F210" i="28"/>
  <c r="F206" i="28"/>
  <c r="D208" i="28"/>
  <c r="E206" i="28"/>
  <c r="E199" i="28"/>
  <c r="C208" i="28"/>
  <c r="G208" i="28"/>
  <c r="E198" i="28"/>
  <c r="D207" i="28"/>
  <c r="E195" i="27"/>
  <c r="E198" i="27" s="1"/>
  <c r="E177" i="24"/>
  <c r="E195" i="25"/>
  <c r="F207" i="25" s="1"/>
  <c r="E116" i="24"/>
  <c r="E192" i="24" s="1"/>
  <c r="E194" i="24"/>
  <c r="F208" i="27" l="1"/>
  <c r="D209" i="27"/>
  <c r="D210" i="27"/>
  <c r="C208" i="27"/>
  <c r="F207" i="27"/>
  <c r="E209" i="27"/>
  <c r="E196" i="27"/>
  <c r="E206" i="27"/>
  <c r="D206" i="27"/>
  <c r="E207" i="27"/>
  <c r="G210" i="27"/>
  <c r="D208" i="27"/>
  <c r="E199" i="27"/>
  <c r="C206" i="27"/>
  <c r="E208" i="27"/>
  <c r="C209" i="27"/>
  <c r="C210" i="27"/>
  <c r="F209" i="27"/>
  <c r="E195" i="24"/>
  <c r="E199" i="24" s="1"/>
  <c r="F210" i="27"/>
  <c r="G206" i="27"/>
  <c r="F206" i="27"/>
  <c r="G209" i="27"/>
  <c r="G208" i="27"/>
  <c r="C207" i="27"/>
  <c r="G207" i="27"/>
  <c r="E210" i="27"/>
  <c r="D207" i="27"/>
  <c r="D210" i="25"/>
  <c r="E209" i="25"/>
  <c r="G209" i="25"/>
  <c r="E208" i="25"/>
  <c r="F206" i="25"/>
  <c r="E198" i="25"/>
  <c r="C207" i="25"/>
  <c r="E199" i="25"/>
  <c r="G207" i="25"/>
  <c r="F208" i="25"/>
  <c r="C208" i="25"/>
  <c r="D207" i="25"/>
  <c r="E196" i="25"/>
  <c r="G210" i="25"/>
  <c r="E210" i="25"/>
  <c r="C206" i="25"/>
  <c r="D208" i="25"/>
  <c r="G208" i="25"/>
  <c r="D209" i="25"/>
  <c r="G206" i="25"/>
  <c r="C210" i="25"/>
  <c r="F209" i="25"/>
  <c r="D206" i="25"/>
  <c r="E207" i="25"/>
  <c r="E206" i="25"/>
  <c r="C209" i="25"/>
  <c r="F210" i="25"/>
  <c r="G207" i="24" l="1"/>
  <c r="F206" i="24"/>
  <c r="C208" i="24"/>
  <c r="D207" i="24"/>
  <c r="D209" i="24"/>
  <c r="D206" i="24"/>
  <c r="G206" i="24"/>
  <c r="E209" i="24"/>
  <c r="D210" i="24"/>
  <c r="F210" i="24"/>
  <c r="G210" i="24"/>
  <c r="E207" i="24"/>
  <c r="E198" i="24"/>
  <c r="C206" i="24"/>
  <c r="E206" i="24"/>
  <c r="E208" i="24"/>
  <c r="F209" i="24"/>
  <c r="E196" i="24"/>
  <c r="G209" i="24"/>
  <c r="E210" i="24"/>
  <c r="G208" i="24"/>
  <c r="C209" i="24"/>
  <c r="F208" i="24"/>
  <c r="C210" i="24"/>
  <c r="F207" i="24"/>
  <c r="D208" i="24"/>
  <c r="C207" i="24"/>
  <c r="E136" i="15"/>
  <c r="E116" i="15"/>
  <c r="E115" i="15"/>
  <c r="E114" i="15"/>
  <c r="E113" i="15"/>
  <c r="E126" i="15"/>
  <c r="E125" i="15"/>
  <c r="E124" i="15"/>
  <c r="E123" i="15"/>
  <c r="E122" i="15"/>
  <c r="E121" i="15"/>
  <c r="E67" i="23"/>
  <c r="E66" i="23"/>
  <c r="E65" i="23"/>
  <c r="E64" i="23"/>
  <c r="G211" i="23"/>
  <c r="F211" i="23"/>
  <c r="E211" i="23"/>
  <c r="D211" i="23"/>
  <c r="C211" i="23"/>
  <c r="B210" i="23"/>
  <c r="B209" i="23"/>
  <c r="B208" i="23"/>
  <c r="B207" i="23"/>
  <c r="B206" i="23"/>
  <c r="E189" i="23"/>
  <c r="E184" i="23"/>
  <c r="E182" i="23"/>
  <c r="E181" i="23"/>
  <c r="E180" i="23"/>
  <c r="E175" i="23"/>
  <c r="E171" i="23"/>
  <c r="E170" i="23"/>
  <c r="E169" i="23"/>
  <c r="E168" i="23"/>
  <c r="E167" i="23"/>
  <c r="E166" i="23"/>
  <c r="E165" i="23"/>
  <c r="E161" i="23"/>
  <c r="E160" i="23"/>
  <c r="E159" i="23"/>
  <c r="E158" i="23"/>
  <c r="E157" i="23"/>
  <c r="E156" i="23"/>
  <c r="E155" i="23"/>
  <c r="E151" i="23"/>
  <c r="E150" i="23"/>
  <c r="E149" i="23"/>
  <c r="E148" i="23"/>
  <c r="E147" i="23"/>
  <c r="E146" i="23"/>
  <c r="E145" i="23"/>
  <c r="E144" i="23"/>
  <c r="E140" i="23"/>
  <c r="E139" i="23"/>
  <c r="E138" i="23"/>
  <c r="E137" i="23"/>
  <c r="E136" i="23"/>
  <c r="E135" i="23"/>
  <c r="E134" i="23"/>
  <c r="E133" i="23"/>
  <c r="E129" i="23"/>
  <c r="E128" i="23"/>
  <c r="E125" i="23"/>
  <c r="E124" i="23"/>
  <c r="E123" i="23"/>
  <c r="E122" i="23"/>
  <c r="E121" i="23"/>
  <c r="E120" i="23"/>
  <c r="E114" i="23"/>
  <c r="E105" i="23"/>
  <c r="E106" i="23" s="1"/>
  <c r="E100" i="23"/>
  <c r="E72" i="23"/>
  <c r="E70" i="23"/>
  <c r="E69" i="23"/>
  <c r="E58" i="23"/>
  <c r="E56" i="23"/>
  <c r="E53" i="23"/>
  <c r="E52" i="23"/>
  <c r="E51" i="23"/>
  <c r="E43" i="23"/>
  <c r="E41" i="23"/>
  <c r="E37" i="23"/>
  <c r="E36" i="23"/>
  <c r="E35" i="23"/>
  <c r="E34" i="23"/>
  <c r="E30" i="23"/>
  <c r="E29" i="23"/>
  <c r="E28" i="23"/>
  <c r="E27" i="23"/>
  <c r="E24" i="23"/>
  <c r="C17" i="23"/>
  <c r="L16" i="23"/>
  <c r="C16" i="23"/>
  <c r="E176" i="23" s="1"/>
  <c r="E15" i="23"/>
  <c r="E14" i="23"/>
  <c r="G211" i="22"/>
  <c r="F211" i="22"/>
  <c r="E211" i="22"/>
  <c r="D211" i="22"/>
  <c r="C211" i="22"/>
  <c r="B210" i="22"/>
  <c r="B209" i="22"/>
  <c r="B208" i="22"/>
  <c r="B207" i="22"/>
  <c r="B206" i="22"/>
  <c r="E189" i="22"/>
  <c r="E184" i="22"/>
  <c r="E182" i="22"/>
  <c r="E181" i="22"/>
  <c r="E180" i="22"/>
  <c r="E175" i="22"/>
  <c r="E171" i="22"/>
  <c r="E170" i="22"/>
  <c r="E169" i="22"/>
  <c r="E168" i="22"/>
  <c r="E167" i="22"/>
  <c r="E166" i="22"/>
  <c r="E165" i="22"/>
  <c r="E161" i="22"/>
  <c r="E160" i="22"/>
  <c r="E159" i="22"/>
  <c r="E158" i="22"/>
  <c r="E157" i="22"/>
  <c r="E156" i="22"/>
  <c r="E155" i="22"/>
  <c r="E151" i="22"/>
  <c r="E150" i="22"/>
  <c r="E149" i="22"/>
  <c r="E148" i="22"/>
  <c r="E147" i="22"/>
  <c r="E146" i="22"/>
  <c r="E145" i="22"/>
  <c r="E144" i="22"/>
  <c r="E140" i="22"/>
  <c r="E139" i="22"/>
  <c r="E138" i="22"/>
  <c r="E137" i="22"/>
  <c r="E136" i="22"/>
  <c r="E135" i="22"/>
  <c r="E134" i="22"/>
  <c r="E133" i="22"/>
  <c r="E129" i="22"/>
  <c r="E128" i="22"/>
  <c r="E125" i="22"/>
  <c r="E124" i="22"/>
  <c r="E123" i="22"/>
  <c r="E122" i="22"/>
  <c r="E121" i="22"/>
  <c r="E120" i="22"/>
  <c r="E114" i="22"/>
  <c r="E105" i="22"/>
  <c r="E106" i="22" s="1"/>
  <c r="E100" i="22"/>
  <c r="E72" i="22"/>
  <c r="E70" i="22"/>
  <c r="E69" i="22"/>
  <c r="E67" i="22"/>
  <c r="E66" i="22"/>
  <c r="E65" i="22"/>
  <c r="E64" i="22"/>
  <c r="E58" i="22"/>
  <c r="E56" i="22"/>
  <c r="E53" i="22"/>
  <c r="E52" i="22"/>
  <c r="E51" i="22"/>
  <c r="E43" i="22"/>
  <c r="E41" i="22"/>
  <c r="E37" i="22"/>
  <c r="E36" i="22"/>
  <c r="E35" i="22"/>
  <c r="E34" i="22"/>
  <c r="E30" i="22"/>
  <c r="E29" i="22"/>
  <c r="E28" i="22"/>
  <c r="E27" i="22"/>
  <c r="E24" i="22"/>
  <c r="C17" i="22"/>
  <c r="L16" i="22"/>
  <c r="C16" i="22"/>
  <c r="E176" i="22" s="1"/>
  <c r="E15" i="22"/>
  <c r="E14" i="22"/>
  <c r="G211" i="21"/>
  <c r="F211" i="21"/>
  <c r="E211" i="21"/>
  <c r="D211" i="21"/>
  <c r="C211" i="21"/>
  <c r="B210" i="21"/>
  <c r="B209" i="21"/>
  <c r="B208" i="21"/>
  <c r="B207" i="21"/>
  <c r="B206" i="21"/>
  <c r="E189" i="21"/>
  <c r="E184" i="21"/>
  <c r="E182" i="21"/>
  <c r="E181" i="21"/>
  <c r="E180" i="21"/>
  <c r="E175" i="21"/>
  <c r="E171" i="21"/>
  <c r="E170" i="21"/>
  <c r="E169" i="21"/>
  <c r="E168" i="21"/>
  <c r="E167" i="21"/>
  <c r="E166" i="21"/>
  <c r="E165" i="21"/>
  <c r="E161" i="21"/>
  <c r="E160" i="21"/>
  <c r="E159" i="21"/>
  <c r="E158" i="21"/>
  <c r="E157" i="21"/>
  <c r="E156" i="21"/>
  <c r="E155" i="21"/>
  <c r="E151" i="21"/>
  <c r="E150" i="21"/>
  <c r="E149" i="21"/>
  <c r="E148" i="21"/>
  <c r="E147" i="21"/>
  <c r="E146" i="21"/>
  <c r="E145" i="21"/>
  <c r="E144" i="21"/>
  <c r="E140" i="21"/>
  <c r="E139" i="21"/>
  <c r="E138" i="21"/>
  <c r="E137" i="21"/>
  <c r="E136" i="21"/>
  <c r="E135" i="21"/>
  <c r="E134" i="21"/>
  <c r="E133" i="21"/>
  <c r="E129" i="21"/>
  <c r="E128" i="21"/>
  <c r="E125" i="21"/>
  <c r="E124" i="21"/>
  <c r="E123" i="21"/>
  <c r="E122" i="21"/>
  <c r="E121" i="21"/>
  <c r="E120" i="21"/>
  <c r="E114" i="21"/>
  <c r="E105" i="21"/>
  <c r="E106" i="21" s="1"/>
  <c r="E100" i="21"/>
  <c r="E72" i="21"/>
  <c r="E70" i="21"/>
  <c r="E69" i="21"/>
  <c r="E67" i="21"/>
  <c r="E66" i="21"/>
  <c r="E65" i="21"/>
  <c r="E64" i="21"/>
  <c r="E58" i="21"/>
  <c r="E56" i="21"/>
  <c r="E53" i="21"/>
  <c r="E52" i="21"/>
  <c r="E51" i="21"/>
  <c r="E43" i="21"/>
  <c r="E41" i="21"/>
  <c r="E37" i="21"/>
  <c r="E36" i="21"/>
  <c r="E35" i="21"/>
  <c r="E34" i="21"/>
  <c r="E30" i="21"/>
  <c r="E29" i="21"/>
  <c r="E28" i="21"/>
  <c r="E27" i="21"/>
  <c r="E24" i="21"/>
  <c r="C17" i="21"/>
  <c r="L16" i="21"/>
  <c r="C16" i="21"/>
  <c r="E176" i="21" s="1"/>
  <c r="E15" i="21"/>
  <c r="E14" i="21"/>
  <c r="G211" i="20"/>
  <c r="F211" i="20"/>
  <c r="E211" i="20"/>
  <c r="D211" i="20"/>
  <c r="C211" i="20"/>
  <c r="B210" i="20"/>
  <c r="B209" i="20"/>
  <c r="B208" i="20"/>
  <c r="B207" i="20"/>
  <c r="B206" i="20"/>
  <c r="E189" i="20"/>
  <c r="E184" i="20"/>
  <c r="E182" i="20"/>
  <c r="E181" i="20"/>
  <c r="E180" i="20"/>
  <c r="E175" i="20"/>
  <c r="E171" i="20"/>
  <c r="E170" i="20"/>
  <c r="E169" i="20"/>
  <c r="E168" i="20"/>
  <c r="E167" i="20"/>
  <c r="E166" i="20"/>
  <c r="E165" i="20"/>
  <c r="E161" i="20"/>
  <c r="E160" i="20"/>
  <c r="E159" i="20"/>
  <c r="E158" i="20"/>
  <c r="E157" i="20"/>
  <c r="E156" i="20"/>
  <c r="E155" i="20"/>
  <c r="E151" i="20"/>
  <c r="E150" i="20"/>
  <c r="E149" i="20"/>
  <c r="E148" i="20"/>
  <c r="E147" i="20"/>
  <c r="E146" i="20"/>
  <c r="E145" i="20"/>
  <c r="E144" i="20"/>
  <c r="E140" i="20"/>
  <c r="E139" i="20"/>
  <c r="E138" i="20"/>
  <c r="E137" i="20"/>
  <c r="E136" i="20"/>
  <c r="E135" i="20"/>
  <c r="E134" i="20"/>
  <c r="E133" i="20"/>
  <c r="E129" i="20"/>
  <c r="E128" i="20"/>
  <c r="E125" i="20"/>
  <c r="E124" i="20"/>
  <c r="E123" i="20"/>
  <c r="E122" i="20"/>
  <c r="E121" i="20"/>
  <c r="E120" i="20"/>
  <c r="E114" i="20"/>
  <c r="E105" i="20"/>
  <c r="E106" i="20" s="1"/>
  <c r="E100" i="20"/>
  <c r="E72" i="20"/>
  <c r="E70" i="20"/>
  <c r="E69" i="20"/>
  <c r="E67" i="20"/>
  <c r="E66" i="20"/>
  <c r="E65" i="20"/>
  <c r="E64" i="20"/>
  <c r="E58" i="20"/>
  <c r="E56" i="20"/>
  <c r="E53" i="20"/>
  <c r="E52" i="20"/>
  <c r="E51" i="20"/>
  <c r="E43" i="20"/>
  <c r="E41" i="20"/>
  <c r="E37" i="20"/>
  <c r="E36" i="20"/>
  <c r="E35" i="20"/>
  <c r="E34" i="20"/>
  <c r="E30" i="20"/>
  <c r="E29" i="20"/>
  <c r="E28" i="20"/>
  <c r="E27" i="20"/>
  <c r="E24" i="20"/>
  <c r="C17" i="20"/>
  <c r="L16" i="20"/>
  <c r="C16" i="20"/>
  <c r="E176" i="20" s="1"/>
  <c r="E15" i="20"/>
  <c r="E14" i="20"/>
  <c r="E72" i="9"/>
  <c r="E70" i="9"/>
  <c r="E66" i="11"/>
  <c r="E59" i="12"/>
  <c r="E65" i="15"/>
  <c r="E65" i="1"/>
  <c r="E115" i="11"/>
  <c r="E114" i="11"/>
  <c r="E126" i="11"/>
  <c r="E125" i="11"/>
  <c r="E124" i="11"/>
  <c r="E123" i="11"/>
  <c r="E125" i="1"/>
  <c r="E124" i="1"/>
  <c r="E123" i="1"/>
  <c r="E122" i="1"/>
  <c r="E121" i="1"/>
  <c r="E114" i="1"/>
  <c r="E113" i="1"/>
  <c r="E43" i="7"/>
  <c r="E41" i="7"/>
  <c r="E40" i="7"/>
  <c r="E140" i="9"/>
  <c r="E139" i="9"/>
  <c r="E138" i="9"/>
  <c r="E137" i="9"/>
  <c r="E136" i="9"/>
  <c r="E135" i="9"/>
  <c r="E134" i="9"/>
  <c r="G182" i="15"/>
  <c r="F182" i="15"/>
  <c r="E182" i="15"/>
  <c r="D182" i="15"/>
  <c r="C182" i="15"/>
  <c r="B181" i="15"/>
  <c r="E22" i="15"/>
  <c r="E25" i="15"/>
  <c r="E26" i="15"/>
  <c r="E27" i="15"/>
  <c r="E28" i="15"/>
  <c r="E32" i="15"/>
  <c r="E33" i="15"/>
  <c r="E34" i="15"/>
  <c r="E35" i="15"/>
  <c r="E39" i="15"/>
  <c r="E41" i="15"/>
  <c r="E49" i="15"/>
  <c r="E50" i="15"/>
  <c r="E51" i="15"/>
  <c r="E54" i="15"/>
  <c r="E56" i="15"/>
  <c r="E61" i="15"/>
  <c r="E63" i="15"/>
  <c r="E87" i="15"/>
  <c r="E92" i="15"/>
  <c r="E93" i="15"/>
  <c r="E101" i="15"/>
  <c r="E107" i="15"/>
  <c r="E108" i="15"/>
  <c r="E109" i="15"/>
  <c r="E110" i="15"/>
  <c r="E111" i="15"/>
  <c r="E112" i="15"/>
  <c r="E120" i="15"/>
  <c r="E130" i="15"/>
  <c r="E131" i="15"/>
  <c r="E132" i="15"/>
  <c r="E133" i="15"/>
  <c r="E134" i="15"/>
  <c r="E135" i="15"/>
  <c r="E140" i="15"/>
  <c r="E141" i="15"/>
  <c r="E142" i="15"/>
  <c r="E143" i="15"/>
  <c r="E144" i="15"/>
  <c r="E145" i="15"/>
  <c r="E149" i="15"/>
  <c r="E150" i="15"/>
  <c r="E154" i="15"/>
  <c r="E155" i="15"/>
  <c r="E157" i="15"/>
  <c r="E14" i="15"/>
  <c r="E16" i="15" s="1"/>
  <c r="E162" i="15"/>
  <c r="B180" i="15"/>
  <c r="B179" i="15"/>
  <c r="B178" i="15"/>
  <c r="B177" i="15"/>
  <c r="C15" i="15"/>
  <c r="E175" i="9"/>
  <c r="C16" i="9"/>
  <c r="E176" i="9" s="1"/>
  <c r="C17" i="9"/>
  <c r="L16" i="9"/>
  <c r="E171" i="9"/>
  <c r="E170" i="9"/>
  <c r="E169" i="9"/>
  <c r="E168" i="9"/>
  <c r="E167" i="9"/>
  <c r="E166" i="9"/>
  <c r="E165" i="9"/>
  <c r="E161" i="9"/>
  <c r="E160" i="9"/>
  <c r="E159" i="9"/>
  <c r="E158" i="9"/>
  <c r="E157" i="9"/>
  <c r="E156" i="9"/>
  <c r="E155" i="9"/>
  <c r="E151" i="9"/>
  <c r="E150" i="9"/>
  <c r="E149" i="9"/>
  <c r="E148" i="9"/>
  <c r="E147" i="9"/>
  <c r="E145" i="9"/>
  <c r="E144" i="9"/>
  <c r="E146" i="9"/>
  <c r="E61" i="1"/>
  <c r="E128" i="12"/>
  <c r="E22" i="12"/>
  <c r="E25" i="12"/>
  <c r="E26" i="12"/>
  <c r="E67" i="9"/>
  <c r="E66" i="9"/>
  <c r="E65" i="9"/>
  <c r="E64" i="9"/>
  <c r="E15" i="9"/>
  <c r="E184" i="9"/>
  <c r="E182" i="9"/>
  <c r="E181" i="9"/>
  <c r="E180" i="9"/>
  <c r="E152" i="11"/>
  <c r="E139" i="11"/>
  <c r="E138" i="11"/>
  <c r="E137" i="11"/>
  <c r="E136" i="11"/>
  <c r="E135" i="11"/>
  <c r="E133" i="11"/>
  <c r="E132" i="11"/>
  <c r="E131" i="11"/>
  <c r="E130" i="11"/>
  <c r="E122" i="11"/>
  <c r="E62" i="11"/>
  <c r="E16" i="11"/>
  <c r="E55" i="12"/>
  <c r="G211" i="9"/>
  <c r="F211" i="9"/>
  <c r="E211" i="9"/>
  <c r="D211" i="9"/>
  <c r="C211" i="9"/>
  <c r="B210" i="9"/>
  <c r="B209" i="9"/>
  <c r="B208" i="9"/>
  <c r="B207" i="9"/>
  <c r="B206" i="9"/>
  <c r="E189" i="9"/>
  <c r="E133" i="9"/>
  <c r="E129" i="9"/>
  <c r="E128" i="9"/>
  <c r="E125" i="9"/>
  <c r="E124" i="9"/>
  <c r="E123" i="9"/>
  <c r="E122" i="9"/>
  <c r="E121" i="9"/>
  <c r="E120" i="9"/>
  <c r="E114" i="9"/>
  <c r="E105" i="9"/>
  <c r="E106" i="9" s="1"/>
  <c r="E100" i="9"/>
  <c r="E69" i="9"/>
  <c r="E58" i="9"/>
  <c r="E56" i="9"/>
  <c r="E53" i="9"/>
  <c r="E52" i="9"/>
  <c r="E51" i="9"/>
  <c r="E43" i="9"/>
  <c r="E41" i="9"/>
  <c r="E37" i="9"/>
  <c r="E36" i="9"/>
  <c r="E35" i="9"/>
  <c r="E34" i="9"/>
  <c r="E30" i="9"/>
  <c r="E29" i="9"/>
  <c r="E28" i="9"/>
  <c r="E27" i="9"/>
  <c r="E24" i="9"/>
  <c r="E14" i="9"/>
  <c r="G154" i="12"/>
  <c r="F154" i="12"/>
  <c r="E154" i="12"/>
  <c r="D154" i="12"/>
  <c r="C154" i="12"/>
  <c r="B153" i="12"/>
  <c r="B152" i="12"/>
  <c r="B151" i="12"/>
  <c r="B150" i="12"/>
  <c r="B149" i="12"/>
  <c r="E133" i="12"/>
  <c r="E130" i="12"/>
  <c r="E124" i="12"/>
  <c r="E123" i="12"/>
  <c r="E114" i="12"/>
  <c r="E120" i="12" s="1"/>
  <c r="E110" i="12"/>
  <c r="E109" i="12"/>
  <c r="E106" i="12"/>
  <c r="E105" i="12"/>
  <c r="E104" i="12"/>
  <c r="E103" i="12"/>
  <c r="E102" i="12"/>
  <c r="E101" i="12"/>
  <c r="E95" i="12"/>
  <c r="E86" i="12"/>
  <c r="E87" i="12" s="1"/>
  <c r="E81" i="12"/>
  <c r="E57" i="12"/>
  <c r="E50" i="12"/>
  <c r="E48" i="12"/>
  <c r="E45" i="12"/>
  <c r="E44" i="12"/>
  <c r="E43" i="12"/>
  <c r="E35" i="12"/>
  <c r="E33" i="12"/>
  <c r="E28" i="12"/>
  <c r="E27" i="12"/>
  <c r="E14" i="12"/>
  <c r="E16" i="12" s="1"/>
  <c r="G178" i="11"/>
  <c r="F178" i="11"/>
  <c r="E178" i="11"/>
  <c r="D178" i="11"/>
  <c r="C178" i="11"/>
  <c r="B177" i="11"/>
  <c r="B176" i="11"/>
  <c r="B175" i="11"/>
  <c r="B174" i="11"/>
  <c r="B173" i="11"/>
  <c r="E155" i="11"/>
  <c r="E150" i="11"/>
  <c r="E148" i="11"/>
  <c r="E144" i="11"/>
  <c r="E143" i="11"/>
  <c r="E121" i="11"/>
  <c r="E117" i="11"/>
  <c r="E116" i="11"/>
  <c r="E113" i="11"/>
  <c r="E112" i="11"/>
  <c r="E111" i="11"/>
  <c r="E110" i="11"/>
  <c r="E109" i="11"/>
  <c r="E108" i="11"/>
  <c r="E102" i="11"/>
  <c r="E93" i="11"/>
  <c r="E94" i="11" s="1"/>
  <c r="E88" i="11"/>
  <c r="E64" i="11"/>
  <c r="E57" i="11"/>
  <c r="E55" i="11"/>
  <c r="E52" i="11"/>
  <c r="E51" i="11"/>
  <c r="E50" i="11"/>
  <c r="E42" i="11"/>
  <c r="E40" i="11"/>
  <c r="E36" i="11"/>
  <c r="E35" i="11"/>
  <c r="E34" i="11"/>
  <c r="E33" i="11"/>
  <c r="E29" i="11"/>
  <c r="E28" i="11"/>
  <c r="E27" i="11"/>
  <c r="E26" i="11"/>
  <c r="E23" i="11"/>
  <c r="E14" i="11"/>
  <c r="E22" i="1"/>
  <c r="E87" i="1"/>
  <c r="E139" i="1"/>
  <c r="E136" i="1"/>
  <c r="E134" i="1"/>
  <c r="E130" i="1"/>
  <c r="E129" i="1"/>
  <c r="E101" i="1"/>
  <c r="E56" i="1"/>
  <c r="E27" i="7"/>
  <c r="E51" i="1"/>
  <c r="E50" i="1"/>
  <c r="E49" i="1"/>
  <c r="E39" i="1"/>
  <c r="E35" i="1"/>
  <c r="E34" i="1"/>
  <c r="E33" i="1"/>
  <c r="E32" i="1"/>
  <c r="E28" i="1"/>
  <c r="E63" i="1"/>
  <c r="F63" i="7"/>
  <c r="F62" i="7"/>
  <c r="F61" i="7"/>
  <c r="F60" i="7"/>
  <c r="F59" i="7"/>
  <c r="F58" i="7"/>
  <c r="F57" i="7"/>
  <c r="E54" i="1"/>
  <c r="E27" i="1"/>
  <c r="E26" i="1"/>
  <c r="E34" i="7"/>
  <c r="H34" i="7" s="1"/>
  <c r="I45" i="7"/>
  <c r="I44" i="7"/>
  <c r="I43" i="7"/>
  <c r="I41" i="7"/>
  <c r="I40" i="7"/>
  <c r="E52" i="7"/>
  <c r="E51" i="7"/>
  <c r="E50" i="7"/>
  <c r="E49" i="7"/>
  <c r="E42" i="7"/>
  <c r="E23" i="7"/>
  <c r="E22" i="7"/>
  <c r="E21" i="7"/>
  <c r="E20" i="7"/>
  <c r="E19" i="7"/>
  <c r="E18" i="7"/>
  <c r="E17" i="7"/>
  <c r="B159" i="1"/>
  <c r="B158" i="1"/>
  <c r="B155" i="1"/>
  <c r="B156" i="1"/>
  <c r="G160" i="1"/>
  <c r="F160" i="1"/>
  <c r="C160" i="1"/>
  <c r="D160" i="1"/>
  <c r="B157" i="1"/>
  <c r="E160" i="1"/>
  <c r="E14" i="1"/>
  <c r="E16" i="1" s="1"/>
  <c r="E41" i="1"/>
  <c r="E25" i="1"/>
  <c r="E111" i="1"/>
  <c r="E109" i="1"/>
  <c r="E115" i="1"/>
  <c r="E116" i="1"/>
  <c r="E108" i="1"/>
  <c r="E110" i="1"/>
  <c r="E120" i="1"/>
  <c r="E92" i="1"/>
  <c r="E93" i="1" s="1"/>
  <c r="E107" i="1"/>
  <c r="E112" i="1"/>
  <c r="E18" i="21" l="1"/>
  <c r="E186" i="21" s="1"/>
  <c r="E66" i="15"/>
  <c r="E67" i="11"/>
  <c r="E60" i="12"/>
  <c r="F64" i="7"/>
  <c r="E127" i="15"/>
  <c r="E66" i="1"/>
  <c r="E111" i="12"/>
  <c r="E172" i="22"/>
  <c r="E140" i="11"/>
  <c r="E18" i="22"/>
  <c r="E186" i="22" s="1"/>
  <c r="E73" i="9"/>
  <c r="E18" i="23"/>
  <c r="E194" i="23" s="1"/>
  <c r="E73" i="23"/>
  <c r="E60" i="22"/>
  <c r="E141" i="22"/>
  <c r="E162" i="22"/>
  <c r="E73" i="22"/>
  <c r="E130" i="22"/>
  <c r="E152" i="22"/>
  <c r="E172" i="21"/>
  <c r="E141" i="21"/>
  <c r="E152" i="21"/>
  <c r="E162" i="21"/>
  <c r="E60" i="21"/>
  <c r="E130" i="21"/>
  <c r="E73" i="21"/>
  <c r="E18" i="20"/>
  <c r="E194" i="20" s="1"/>
  <c r="E172" i="20"/>
  <c r="E60" i="20"/>
  <c r="E130" i="20"/>
  <c r="E73" i="20"/>
  <c r="E141" i="20"/>
  <c r="E152" i="20"/>
  <c r="E162" i="20"/>
  <c r="E130" i="23"/>
  <c r="E141" i="23"/>
  <c r="E152" i="23"/>
  <c r="E172" i="23"/>
  <c r="E60" i="23"/>
  <c r="E162" i="23"/>
  <c r="E172" i="9"/>
  <c r="E18" i="9"/>
  <c r="E186" i="9" s="1"/>
  <c r="E162" i="9"/>
  <c r="E152" i="9"/>
  <c r="E125" i="12"/>
  <c r="E137" i="15"/>
  <c r="E126" i="1"/>
  <c r="E131" i="1" s="1"/>
  <c r="E127" i="11"/>
  <c r="I46" i="7"/>
  <c r="I47" i="7" s="1"/>
  <c r="E141" i="9"/>
  <c r="E159" i="15"/>
  <c r="E166" i="15"/>
  <c r="E146" i="15"/>
  <c r="E130" i="9"/>
  <c r="E60" i="9"/>
  <c r="E17" i="11"/>
  <c r="E160" i="11" s="1"/>
  <c r="E118" i="11"/>
  <c r="E59" i="11"/>
  <c r="E52" i="12"/>
  <c r="E138" i="12"/>
  <c r="E117" i="15"/>
  <c r="E58" i="15"/>
  <c r="E103" i="15" s="1"/>
  <c r="E117" i="1"/>
  <c r="E58" i="1"/>
  <c r="E144" i="1"/>
  <c r="E194" i="21" l="1"/>
  <c r="E104" i="11"/>
  <c r="E158" i="11" s="1"/>
  <c r="E97" i="12"/>
  <c r="E136" i="12" s="1"/>
  <c r="E145" i="11"/>
  <c r="E103" i="1"/>
  <c r="E142" i="1" s="1"/>
  <c r="E145" i="1" s="1"/>
  <c r="E159" i="1" s="1"/>
  <c r="E116" i="23"/>
  <c r="E192" i="23" s="1"/>
  <c r="E186" i="23"/>
  <c r="E194" i="22"/>
  <c r="E116" i="9"/>
  <c r="E192" i="9" s="1"/>
  <c r="E116" i="20"/>
  <c r="E192" i="20" s="1"/>
  <c r="E186" i="20"/>
  <c r="E151" i="15"/>
  <c r="E177" i="22"/>
  <c r="E116" i="22"/>
  <c r="E192" i="22" s="1"/>
  <c r="E177" i="21"/>
  <c r="E116" i="21"/>
  <c r="E177" i="20"/>
  <c r="E177" i="23"/>
  <c r="E194" i="9"/>
  <c r="E177" i="9"/>
  <c r="E164" i="15"/>
  <c r="E139" i="12" l="1"/>
  <c r="G152" i="12" s="1"/>
  <c r="E161" i="11"/>
  <c r="F176" i="11" s="1"/>
  <c r="E167" i="15"/>
  <c r="E177" i="15" s="1"/>
  <c r="E195" i="9"/>
  <c r="E164" i="11"/>
  <c r="E166" i="11" s="1"/>
  <c r="E195" i="20"/>
  <c r="E195" i="22"/>
  <c r="E195" i="23"/>
  <c r="E192" i="21"/>
  <c r="E195" i="21" s="1"/>
  <c r="C156" i="1"/>
  <c r="E157" i="1"/>
  <c r="D155" i="1"/>
  <c r="C157" i="1"/>
  <c r="E158" i="1"/>
  <c r="C155" i="1"/>
  <c r="D156" i="1"/>
  <c r="E156" i="1"/>
  <c r="C158" i="1"/>
  <c r="D158" i="1"/>
  <c r="E146" i="1"/>
  <c r="C159" i="1"/>
  <c r="F155" i="1"/>
  <c r="E148" i="1"/>
  <c r="D157" i="1"/>
  <c r="G158" i="1"/>
  <c r="F156" i="1"/>
  <c r="F158" i="1"/>
  <c r="G155" i="1"/>
  <c r="G157" i="1"/>
  <c r="G159" i="1"/>
  <c r="F157" i="1"/>
  <c r="F159" i="1"/>
  <c r="E155" i="1"/>
  <c r="G156" i="1"/>
  <c r="D159" i="1"/>
  <c r="G149" i="12" l="1"/>
  <c r="G153" i="12"/>
  <c r="F150" i="12"/>
  <c r="E151" i="12"/>
  <c r="C150" i="12"/>
  <c r="G150" i="12"/>
  <c r="C152" i="12"/>
  <c r="F153" i="12"/>
  <c r="D150" i="12"/>
  <c r="D151" i="12"/>
  <c r="E150" i="12"/>
  <c r="C151" i="12"/>
  <c r="E142" i="12"/>
  <c r="C149" i="12"/>
  <c r="D153" i="12"/>
  <c r="D152" i="12"/>
  <c r="G151" i="12"/>
  <c r="C153" i="12"/>
  <c r="F151" i="12"/>
  <c r="E152" i="12"/>
  <c r="E153" i="12"/>
  <c r="F149" i="12"/>
  <c r="E149" i="12"/>
  <c r="E140" i="12"/>
  <c r="D149" i="12"/>
  <c r="F152" i="12"/>
  <c r="F173" i="11"/>
  <c r="D176" i="11"/>
  <c r="G174" i="11"/>
  <c r="E174" i="11"/>
  <c r="E162" i="11"/>
  <c r="G176" i="11"/>
  <c r="E175" i="11"/>
  <c r="C177" i="11"/>
  <c r="D177" i="11"/>
  <c r="D174" i="11"/>
  <c r="G175" i="11"/>
  <c r="C174" i="11"/>
  <c r="D173" i="11"/>
  <c r="E173" i="11"/>
  <c r="C173" i="11"/>
  <c r="D175" i="11"/>
  <c r="C176" i="11"/>
  <c r="G173" i="11"/>
  <c r="C175" i="11"/>
  <c r="F175" i="11"/>
  <c r="F177" i="11"/>
  <c r="F174" i="11"/>
  <c r="E177" i="11"/>
  <c r="E176" i="11"/>
  <c r="G177" i="11"/>
  <c r="C210" i="23"/>
  <c r="D207" i="23"/>
  <c r="F209" i="23"/>
  <c r="E208" i="23"/>
  <c r="D206" i="23"/>
  <c r="F208" i="23"/>
  <c r="G206" i="23"/>
  <c r="E207" i="23"/>
  <c r="C209" i="23"/>
  <c r="C208" i="23"/>
  <c r="G210" i="23"/>
  <c r="F207" i="23"/>
  <c r="G209" i="23"/>
  <c r="F206" i="23"/>
  <c r="E209" i="23"/>
  <c r="F210" i="23"/>
  <c r="C207" i="23"/>
  <c r="C206" i="23"/>
  <c r="G208" i="23"/>
  <c r="E210" i="23"/>
  <c r="G207" i="23"/>
  <c r="E206" i="23"/>
  <c r="D210" i="23"/>
  <c r="D209" i="23"/>
  <c r="D208" i="23"/>
  <c r="C208" i="22"/>
  <c r="G206" i="22"/>
  <c r="E207" i="22"/>
  <c r="C206" i="22"/>
  <c r="F210" i="22"/>
  <c r="D210" i="22"/>
  <c r="G207" i="22"/>
  <c r="E208" i="22"/>
  <c r="D207" i="22"/>
  <c r="C209" i="22"/>
  <c r="F209" i="22"/>
  <c r="D209" i="22"/>
  <c r="G208" i="22"/>
  <c r="F207" i="22"/>
  <c r="E206" i="22"/>
  <c r="E209" i="22"/>
  <c r="D206" i="22"/>
  <c r="F206" i="22"/>
  <c r="G209" i="22"/>
  <c r="C207" i="22"/>
  <c r="D208" i="22"/>
  <c r="F208" i="22"/>
  <c r="C210" i="22"/>
  <c r="G210" i="22"/>
  <c r="E210" i="22"/>
  <c r="F209" i="21"/>
  <c r="C208" i="21"/>
  <c r="E206" i="21"/>
  <c r="F206" i="21"/>
  <c r="D210" i="21"/>
  <c r="E207" i="21"/>
  <c r="D209" i="21"/>
  <c r="G210" i="21"/>
  <c r="F207" i="21"/>
  <c r="E208" i="21"/>
  <c r="G209" i="21"/>
  <c r="F208" i="21"/>
  <c r="D206" i="21"/>
  <c r="G206" i="21"/>
  <c r="C210" i="21"/>
  <c r="D207" i="21"/>
  <c r="G208" i="21"/>
  <c r="E210" i="21"/>
  <c r="G207" i="21"/>
  <c r="C209" i="21"/>
  <c r="D208" i="21"/>
  <c r="C206" i="21"/>
  <c r="F210" i="21"/>
  <c r="C207" i="21"/>
  <c r="E209" i="21"/>
  <c r="F210" i="9"/>
  <c r="E210" i="9"/>
  <c r="C206" i="9"/>
  <c r="F209" i="9"/>
  <c r="C207" i="9"/>
  <c r="F206" i="9"/>
  <c r="E206" i="9"/>
  <c r="C208" i="9"/>
  <c r="D210" i="9"/>
  <c r="D209" i="9"/>
  <c r="G210" i="9"/>
  <c r="F207" i="9"/>
  <c r="E207" i="9"/>
  <c r="D208" i="9"/>
  <c r="E208" i="9"/>
  <c r="G209" i="9"/>
  <c r="F208" i="9"/>
  <c r="G206" i="9"/>
  <c r="G207" i="9"/>
  <c r="D206" i="9"/>
  <c r="C210" i="9"/>
  <c r="G208" i="9"/>
  <c r="D207" i="9"/>
  <c r="C209" i="9"/>
  <c r="E209" i="9"/>
  <c r="F206" i="20"/>
  <c r="C207" i="20"/>
  <c r="E209" i="20"/>
  <c r="C208" i="20"/>
  <c r="E206" i="20"/>
  <c r="F207" i="20"/>
  <c r="F210" i="20"/>
  <c r="D210" i="20"/>
  <c r="E207" i="20"/>
  <c r="F209" i="20"/>
  <c r="D209" i="20"/>
  <c r="E208" i="20"/>
  <c r="G210" i="20"/>
  <c r="G209" i="20"/>
  <c r="F208" i="20"/>
  <c r="D206" i="20"/>
  <c r="C210" i="20"/>
  <c r="G206" i="20"/>
  <c r="G207" i="20"/>
  <c r="C209" i="20"/>
  <c r="D208" i="20"/>
  <c r="G208" i="20"/>
  <c r="C206" i="20"/>
  <c r="E210" i="20"/>
  <c r="D207" i="20"/>
  <c r="C180" i="15"/>
  <c r="G179" i="15"/>
  <c r="G180" i="15"/>
  <c r="E178" i="15"/>
  <c r="D180" i="15"/>
  <c r="F177" i="15"/>
  <c r="F181" i="15"/>
  <c r="E168" i="15"/>
  <c r="E179" i="15"/>
  <c r="C177" i="15"/>
  <c r="G177" i="15"/>
  <c r="F178" i="15"/>
  <c r="D179" i="15"/>
  <c r="C181" i="15"/>
  <c r="E180" i="15"/>
  <c r="C179" i="15"/>
  <c r="D178" i="15"/>
  <c r="D177" i="15"/>
  <c r="G181" i="15"/>
  <c r="G178" i="15"/>
  <c r="C178" i="15"/>
  <c r="F179" i="15"/>
  <c r="E181" i="15"/>
  <c r="E171" i="15"/>
  <c r="F180" i="15"/>
  <c r="D181" i="15"/>
  <c r="E170" i="15"/>
  <c r="E196" i="20"/>
  <c r="E198" i="9"/>
  <c r="E196" i="9"/>
  <c r="E199" i="9"/>
  <c r="E199" i="20"/>
  <c r="E198" i="20"/>
  <c r="E199" i="22"/>
  <c r="E196" i="22"/>
  <c r="E198" i="22"/>
  <c r="E198" i="23"/>
  <c r="E196" i="23"/>
  <c r="E199" i="23"/>
  <c r="E196" i="21"/>
  <c r="E199" i="21"/>
  <c r="E198" i="21"/>
</calcChain>
</file>

<file path=xl/sharedStrings.xml><?xml version="1.0" encoding="utf-8"?>
<sst xmlns="http://schemas.openxmlformats.org/spreadsheetml/2006/main" count="3000" uniqueCount="430">
  <si>
    <t>bu/acre</t>
  </si>
  <si>
    <t>Corn Seed</t>
  </si>
  <si>
    <t>Weed Control</t>
  </si>
  <si>
    <t>Combine</t>
  </si>
  <si>
    <t>Fertilizer</t>
  </si>
  <si>
    <t>Urea</t>
  </si>
  <si>
    <t>% N</t>
  </si>
  <si>
    <t>Other</t>
  </si>
  <si>
    <t>Fungicide Application</t>
  </si>
  <si>
    <t>Field cultivator</t>
  </si>
  <si>
    <t>Irrigation</t>
  </si>
  <si>
    <t>Total Direct Production Inputs</t>
  </si>
  <si>
    <t>Insect Control</t>
  </si>
  <si>
    <t xml:space="preserve">   Potassium</t>
  </si>
  <si>
    <t xml:space="preserve">        Urea</t>
  </si>
  <si>
    <t xml:space="preserve">        28%</t>
  </si>
  <si>
    <t xml:space="preserve">        32%</t>
  </si>
  <si>
    <t xml:space="preserve">       Anhydrous</t>
  </si>
  <si>
    <t>Price and Yield Sensitivity Analysis</t>
  </si>
  <si>
    <t>Price Change</t>
  </si>
  <si>
    <t>+10%</t>
  </si>
  <si>
    <t>+20%</t>
  </si>
  <si>
    <t>-10%</t>
  </si>
  <si>
    <t>-20%</t>
  </si>
  <si>
    <t>Yield Change</t>
  </si>
  <si>
    <t>Price per Bushel</t>
  </si>
  <si>
    <t>Net Return per Acre</t>
  </si>
  <si>
    <t>Yield</t>
  </si>
  <si>
    <t>Crop Insurance</t>
  </si>
  <si>
    <t xml:space="preserve">       </t>
  </si>
  <si>
    <t>Seed treatment</t>
  </si>
  <si>
    <t>Soil applied</t>
  </si>
  <si>
    <t>Storage</t>
  </si>
  <si>
    <t xml:space="preserve">Dry Starter </t>
  </si>
  <si>
    <t>Hauling</t>
  </si>
  <si>
    <t>An AA/EEO employer, University of Wisconsin-Divison of Extension provides equal opportunities in employment and programming, including Title VI, Title IX and ADA requirements.</t>
  </si>
  <si>
    <t>La Universidad de Wisconsin-Extension, un empleador con igualdad de oportunidades y acción afirmativa (EEO/AA), proporciona igualdad de oportunidades en empleo y programas, incluyendo los requisitos del Titulo VI (Title VI), Titulo IX (Title IX) y de la Ley para Americanos con Discapacidades (ADA).</t>
  </si>
  <si>
    <t>Revenue</t>
  </si>
  <si>
    <t xml:space="preserve">Grain </t>
  </si>
  <si>
    <t>Total</t>
  </si>
  <si>
    <t>Expenses</t>
  </si>
  <si>
    <t>Potassium</t>
  </si>
  <si>
    <t>Planter</t>
  </si>
  <si>
    <t>Grain Cart</t>
  </si>
  <si>
    <t>Cost per Bushel (Breakeven)</t>
  </si>
  <si>
    <t>Labor</t>
  </si>
  <si>
    <t>Fertilizer Cost Calculator</t>
  </si>
  <si>
    <t xml:space="preserve">Nitrogen </t>
  </si>
  <si>
    <t>Anhydrous Ammonia</t>
  </si>
  <si>
    <t>Phosphorus</t>
  </si>
  <si>
    <t>MAP 11-52-0</t>
  </si>
  <si>
    <t>DAP 18-46-0</t>
  </si>
  <si>
    <t>TSP 0-46-0</t>
  </si>
  <si>
    <t>MESZ 12-40-0-10S-1 Zn</t>
  </si>
  <si>
    <t>ESN</t>
  </si>
  <si>
    <t>Potash 0-0-60</t>
  </si>
  <si>
    <t>White Potash 0-0-62</t>
  </si>
  <si>
    <r>
      <t>% P</t>
    </r>
    <r>
      <rPr>
        <b/>
        <vertAlign val="subscript"/>
        <sz val="10"/>
        <rFont val="Arial"/>
        <family val="2"/>
      </rPr>
      <t>2</t>
    </r>
    <r>
      <rPr>
        <b/>
        <sz val="10"/>
        <rFont val="Arial"/>
        <family val="2"/>
      </rPr>
      <t>O</t>
    </r>
    <r>
      <rPr>
        <b/>
        <vertAlign val="subscript"/>
        <sz val="10"/>
        <rFont val="Arial"/>
        <family val="2"/>
      </rPr>
      <t>5</t>
    </r>
  </si>
  <si>
    <r>
      <t>% K</t>
    </r>
    <r>
      <rPr>
        <b/>
        <vertAlign val="subscript"/>
        <sz val="10"/>
        <rFont val="Arial"/>
        <family val="2"/>
      </rPr>
      <t>2</t>
    </r>
    <r>
      <rPr>
        <b/>
        <sz val="10"/>
        <rFont val="Arial"/>
        <family val="2"/>
      </rPr>
      <t>O</t>
    </r>
  </si>
  <si>
    <t>8 mths @operating loan rate * (Direct inputs plus 20% of Tillage)</t>
  </si>
  <si>
    <t>% N of fertilizer</t>
  </si>
  <si>
    <t xml:space="preserve">lb of N </t>
  </si>
  <si>
    <t>lb P2O5 applied</t>
  </si>
  <si>
    <t>Total lb of N applied from P fertilizers</t>
  </si>
  <si>
    <t>Material</t>
  </si>
  <si>
    <t xml:space="preserve">Agrotain Advanced </t>
  </si>
  <si>
    <t>Bulk Blend</t>
  </si>
  <si>
    <t>$/acre</t>
  </si>
  <si>
    <t>lb N/acre</t>
  </si>
  <si>
    <t>$/lb N</t>
  </si>
  <si>
    <t>tons/acre</t>
  </si>
  <si>
    <t>Directions in yellow boxes to the right of the entry section</t>
  </si>
  <si>
    <t># passes</t>
  </si>
  <si>
    <t>Soil Testing and Nutrient Management Planning Cost Calculator</t>
  </si>
  <si>
    <t>Basic Soil Test</t>
  </si>
  <si>
    <t>Pre Plant N Test</t>
  </si>
  <si>
    <t>Pre Sidedress N test</t>
  </si>
  <si>
    <t>years</t>
  </si>
  <si>
    <t>Total Cost per Acre Per Year</t>
  </si>
  <si>
    <t>Enter your numbers and information  in blue cells</t>
  </si>
  <si>
    <t xml:space="preserve">  Ag Lime</t>
  </si>
  <si>
    <t>Cover Crop Seed</t>
  </si>
  <si>
    <t>Chisel plow</t>
  </si>
  <si>
    <t>Enter your numbers and information in blue cells</t>
  </si>
  <si>
    <t>Directions are in yellow boxes to the right</t>
  </si>
  <si>
    <t>Management at 5% of gross revenue</t>
  </si>
  <si>
    <t xml:space="preserve">N Stabilizer/ Extender </t>
  </si>
  <si>
    <t>lb product /acre</t>
  </si>
  <si>
    <t>Fertilizer applied on a pounds of product per acre basis</t>
  </si>
  <si>
    <t>broadcast P &amp; K</t>
  </si>
  <si>
    <t>Side dress N</t>
  </si>
  <si>
    <t>Nutrient Management Plan</t>
  </si>
  <si>
    <t>Pesticides</t>
  </si>
  <si>
    <t>Other Expenses</t>
  </si>
  <si>
    <t>Seed Costs</t>
  </si>
  <si>
    <t xml:space="preserve">Material </t>
  </si>
  <si>
    <t>Instinct 2</t>
  </si>
  <si>
    <t>Fertilizer Treatment Costs (nitrification inhibitors etc.) for materials applied per acre</t>
  </si>
  <si>
    <r>
      <t xml:space="preserve">Ag Lime Application </t>
    </r>
    <r>
      <rPr>
        <i/>
        <sz val="10"/>
        <rFont val="Arial"/>
        <family val="2"/>
      </rPr>
      <t>(if custom hired and not part of ag lime cost)</t>
    </r>
  </si>
  <si>
    <t xml:space="preserve">Application Cost* </t>
  </si>
  <si>
    <t>Field Operations</t>
  </si>
  <si>
    <t>Soil testing cost per acre per year</t>
  </si>
  <si>
    <t>Crop Scouting</t>
  </si>
  <si>
    <t>Total Fertilizer Including Hired Application Costs</t>
  </si>
  <si>
    <t>Hired Labor not Accounted for Elsewhere</t>
  </si>
  <si>
    <t>$/hr</t>
  </si>
  <si>
    <t>Land Rent/ Ownership Cost</t>
  </si>
  <si>
    <t>Drying and Storage</t>
  </si>
  <si>
    <t>Plant cover crop</t>
  </si>
  <si>
    <t>points to dry</t>
  </si>
  <si>
    <t>Drying</t>
  </si>
  <si>
    <t>% crop stored</t>
  </si>
  <si>
    <t># of mos</t>
  </si>
  <si>
    <r>
      <t xml:space="preserve">Interest rate of operating loan    </t>
    </r>
    <r>
      <rPr>
        <sz val="8"/>
        <rFont val="Arial"/>
        <family val="2"/>
      </rPr>
      <t xml:space="preserve"> </t>
    </r>
  </si>
  <si>
    <t>Total Seed Cost</t>
  </si>
  <si>
    <t>Direct cost per acre inch applied</t>
  </si>
  <si>
    <t># inches applied</t>
  </si>
  <si>
    <t>Total Irrigation</t>
  </si>
  <si>
    <t>Annual overhead cost per acre</t>
  </si>
  <si>
    <t>Total Pesticide and Custom Application Cost</t>
  </si>
  <si>
    <t>Total other Expenses</t>
  </si>
  <si>
    <t>Preharvest Field Operations</t>
  </si>
  <si>
    <t>Harvest Field Operations</t>
  </si>
  <si>
    <t>Total Post Harvest Operations</t>
  </si>
  <si>
    <t>miles hauled</t>
  </si>
  <si>
    <t>hr/acre</t>
  </si>
  <si>
    <t>Burndown Herbicide Product</t>
  </si>
  <si>
    <t>Pre-plant Herbicide Product</t>
  </si>
  <si>
    <t>Post Herbicide Product Pass 1</t>
  </si>
  <si>
    <t>Post Herbicide Product Pass 2</t>
  </si>
  <si>
    <t>Fungicide Product Pass 1</t>
  </si>
  <si>
    <t>Fungicide Product Pass 2</t>
  </si>
  <si>
    <t>Insecticide Product</t>
  </si>
  <si>
    <t xml:space="preserve">  Manure</t>
  </si>
  <si>
    <t>to point of sale</t>
  </si>
  <si>
    <t>Fertilizer applied on a pounds of nutrient per acre not accounted for above</t>
  </si>
  <si>
    <t>lb N from Phos products used below*</t>
  </si>
  <si>
    <t>Hauling to farm</t>
  </si>
  <si>
    <t>broadcast blend</t>
  </si>
  <si>
    <t>Soybean Seed</t>
  </si>
  <si>
    <t xml:space="preserve">Bags </t>
  </si>
  <si>
    <t>Cover</t>
  </si>
  <si>
    <t>Cost per Ton as fed (Breakeven)</t>
  </si>
  <si>
    <t>Pricing on a per pound of fertilizer product basis</t>
  </si>
  <si>
    <t>Silage storage losses at recommended moistures</t>
  </si>
  <si>
    <t>Silo Type</t>
  </si>
  <si>
    <t>Top unloading tower</t>
  </si>
  <si>
    <t>11 to 19%</t>
  </si>
  <si>
    <t>Oxygen limiting tower</t>
  </si>
  <si>
    <t>6 to 13%</t>
  </si>
  <si>
    <t>Pile or bunker, covered</t>
  </si>
  <si>
    <t>18 to 34%</t>
  </si>
  <si>
    <t>Bags</t>
  </si>
  <si>
    <t>9 to 14%</t>
  </si>
  <si>
    <t>Percent Loss</t>
  </si>
  <si>
    <t>% loss</t>
  </si>
  <si>
    <t>Holmes and Muck, University of Wisconsin Madison</t>
  </si>
  <si>
    <t>Storage and Shrink</t>
  </si>
  <si>
    <t>Straw</t>
  </si>
  <si>
    <t>Small Grain Seed</t>
  </si>
  <si>
    <t>Bale</t>
  </si>
  <si>
    <t>Rake straw</t>
  </si>
  <si>
    <t>Haul to farm</t>
  </si>
  <si>
    <t xml:space="preserve">Hauling Grain </t>
  </si>
  <si>
    <t>Grain Storage</t>
  </si>
  <si>
    <t xml:space="preserve">Cost per Bushel (Breakeven) </t>
  </si>
  <si>
    <t>Grain Harvest Field Operations per Acre</t>
  </si>
  <si>
    <t>Straw Harvest Operations Per Bale</t>
  </si>
  <si>
    <t xml:space="preserve">Total Straw Field Operations </t>
  </si>
  <si>
    <t>Grain Expenses per acre</t>
  </si>
  <si>
    <t>Hay Price Converter for Moisture</t>
  </si>
  <si>
    <t>Ammonium Sulfate</t>
  </si>
  <si>
    <t>Alfalfa Seed</t>
  </si>
  <si>
    <t>Nurse Crop Seed</t>
  </si>
  <si>
    <t>Perennial grass Seed</t>
  </si>
  <si>
    <t>Insecticide Product Pass 1</t>
  </si>
  <si>
    <t>Insecticide Product Pass 2</t>
  </si>
  <si>
    <t>Insecticide Product Pass 3</t>
  </si>
  <si>
    <t>Innoculant</t>
  </si>
  <si>
    <t>% of crop stored</t>
  </si>
  <si>
    <t>% of crop treated</t>
  </si>
  <si>
    <t xml:space="preserve">bale wrap </t>
  </si>
  <si>
    <t>Expected years of stand</t>
  </si>
  <si>
    <t>Total Preharvest Field Operations</t>
  </si>
  <si>
    <t>Percent moisture of haylage</t>
  </si>
  <si>
    <t>Haylage price adjusted for moisture</t>
  </si>
  <si>
    <t>Dry Hay Price* $/ton</t>
  </si>
  <si>
    <t>* assumed to be 13% moisture</t>
  </si>
  <si>
    <t>#  passes</t>
  </si>
  <si>
    <t>Fertilizer Treatment Costs  (urease inhibitors etc.) for materials applied per ton of fertilizer</t>
  </si>
  <si>
    <t>% nutrient in fertilizer</t>
  </si>
  <si>
    <t>$ Value of N applied from P fertilizers</t>
  </si>
  <si>
    <t xml:space="preserve">   Phosphorus</t>
  </si>
  <si>
    <r>
      <t>lbs P</t>
    </r>
    <r>
      <rPr>
        <b/>
        <vertAlign val="subscript"/>
        <sz val="10"/>
        <rFont val="Arial"/>
        <family val="2"/>
      </rPr>
      <t>2</t>
    </r>
    <r>
      <rPr>
        <b/>
        <sz val="10"/>
        <rFont val="Arial"/>
        <family val="2"/>
      </rPr>
      <t>O</t>
    </r>
    <r>
      <rPr>
        <b/>
        <vertAlign val="subscript"/>
        <sz val="10"/>
        <rFont val="Arial"/>
        <family val="2"/>
      </rPr>
      <t xml:space="preserve">5 </t>
    </r>
  </si>
  <si>
    <r>
      <t>lbs K</t>
    </r>
    <r>
      <rPr>
        <b/>
        <vertAlign val="subscript"/>
        <sz val="10"/>
        <rFont val="Arial"/>
        <family val="2"/>
      </rPr>
      <t>2</t>
    </r>
    <r>
      <rPr>
        <b/>
        <sz val="10"/>
        <rFont val="Arial"/>
        <family val="2"/>
      </rPr>
      <t xml:space="preserve">O </t>
    </r>
  </si>
  <si>
    <t>Years to pro-rate</t>
  </si>
  <si>
    <t>Total Seed Cost per Acre</t>
  </si>
  <si>
    <t>Total Fertilizer Including Hired Application Costs per Acre</t>
  </si>
  <si>
    <t>Total Pesticide and Custom Application Cost per Acre</t>
  </si>
  <si>
    <t>Total Revenue per Acre</t>
  </si>
  <si>
    <t>Total Irrigation per Acre</t>
  </si>
  <si>
    <t>Total other Expenses per Acre</t>
  </si>
  <si>
    <t>Total Direct Production Inputs per Acre</t>
  </si>
  <si>
    <t>Total Harvest Field Operations per Acre</t>
  </si>
  <si>
    <t>Total Post Harvest Operations per Acre</t>
  </si>
  <si>
    <t>Cost per Ton dry matter basis</t>
  </si>
  <si>
    <t xml:space="preserve">Corn Silage </t>
  </si>
  <si>
    <t>Sulfur</t>
  </si>
  <si>
    <t>top dress N</t>
  </si>
  <si>
    <t>Straw  Harvest Field Operations per Acre</t>
  </si>
  <si>
    <t>bale</t>
  </si>
  <si>
    <t>bunker/pile cover</t>
  </si>
  <si>
    <t xml:space="preserve">bags </t>
  </si>
  <si>
    <t>Storage loss</t>
  </si>
  <si>
    <t>Forage yield dry matter</t>
  </si>
  <si>
    <t>Nurse crop yield dry matter</t>
  </si>
  <si>
    <t>Forage yield</t>
  </si>
  <si>
    <t>Nurse crop yield</t>
  </si>
  <si>
    <r>
      <t xml:space="preserve">Cost per ton of forage </t>
    </r>
    <r>
      <rPr>
        <b/>
        <sz val="10"/>
        <rFont val="Arial"/>
        <family val="2"/>
      </rPr>
      <t>as fed</t>
    </r>
    <r>
      <rPr>
        <sz val="10"/>
        <rFont val="Arial"/>
        <family val="2"/>
      </rPr>
      <t xml:space="preserve"> harvested (Breakeven)</t>
    </r>
  </si>
  <si>
    <r>
      <t xml:space="preserve">Cost per ton of forage </t>
    </r>
    <r>
      <rPr>
        <b/>
        <sz val="10"/>
        <rFont val="Arial"/>
        <family val="2"/>
      </rPr>
      <t xml:space="preserve">dry matter basis </t>
    </r>
    <r>
      <rPr>
        <sz val="10"/>
        <rFont val="Arial"/>
        <family val="2"/>
      </rPr>
      <t>harvested (Breakeven)</t>
    </r>
  </si>
  <si>
    <t>Harvest Field Operations per Acre</t>
  </si>
  <si>
    <t>Total Harvest Operations per Acre</t>
  </si>
  <si>
    <t>Total per Acre Harvest Operations on per hour basis</t>
  </si>
  <si>
    <t>Total per Acre Harvest Operations per bale basis</t>
  </si>
  <si>
    <t>Total per Acre Harvest Operations per ton basis</t>
  </si>
  <si>
    <t>Total Preharvest Field Operations per Acre</t>
  </si>
  <si>
    <t>Total Grain Harvest Field Operations per Acre</t>
  </si>
  <si>
    <t>Dry matter Yield tons/acre</t>
  </si>
  <si>
    <t>Peach Cells are calculated values</t>
  </si>
  <si>
    <r>
      <t xml:space="preserve">Interest rate of operating loan per acre  </t>
    </r>
    <r>
      <rPr>
        <sz val="8"/>
        <rFont val="Arial"/>
        <family val="2"/>
      </rPr>
      <t xml:space="preserve"> </t>
    </r>
  </si>
  <si>
    <t>Net Return / Acre</t>
  </si>
  <si>
    <t xml:space="preserve">Total Expense / Acre </t>
  </si>
  <si>
    <t>Land Rent / Ownership Cost</t>
  </si>
  <si>
    <t>(annual cost / acre)</t>
  </si>
  <si>
    <t>Bu / acre</t>
  </si>
  <si>
    <t>$ / bu</t>
  </si>
  <si>
    <t>Total / acre</t>
  </si>
  <si>
    <t>lb / gal</t>
  </si>
  <si>
    <t>gal / acre</t>
  </si>
  <si>
    <t>$ / ton</t>
  </si>
  <si>
    <t>$ / acre</t>
  </si>
  <si>
    <t>lb product / acre</t>
  </si>
  <si>
    <t>lb N / acre</t>
  </si>
  <si>
    <t>$ / lb N</t>
  </si>
  <si>
    <t>Ag Lime</t>
  </si>
  <si>
    <t xml:space="preserve">Enter your primary nitrogen source price/lb of N </t>
  </si>
  <si>
    <t>Harvest moist. %</t>
  </si>
  <si>
    <t>Custom hired fertilizer applications</t>
  </si>
  <si>
    <t>Misc. Income (i.e. bedding, others )</t>
  </si>
  <si>
    <t>$ / hr</t>
  </si>
  <si>
    <t>hr / acre</t>
  </si>
  <si>
    <t>cost / bu / mo</t>
  </si>
  <si>
    <t>cost / point / bu</t>
  </si>
  <si>
    <t>$ / mile</t>
  </si>
  <si>
    <t>bu / load</t>
  </si>
  <si>
    <t>$ / pass</t>
  </si>
  <si>
    <t>Passes / acre</t>
  </si>
  <si>
    <t>$ / inch</t>
  </si>
  <si>
    <t>$ / 140k seed</t>
  </si>
  <si>
    <t>seeds / acre</t>
  </si>
  <si>
    <t>lb / acre</t>
  </si>
  <si>
    <t>$ / lb</t>
  </si>
  <si>
    <t>Yrs / pro-rate</t>
  </si>
  <si>
    <t>tons / acre</t>
  </si>
  <si>
    <r>
      <t>$ / lb K</t>
    </r>
    <r>
      <rPr>
        <b/>
        <vertAlign val="subscript"/>
        <sz val="10"/>
        <rFont val="Arial"/>
        <family val="2"/>
      </rPr>
      <t>2</t>
    </r>
    <r>
      <rPr>
        <b/>
        <sz val="10"/>
        <rFont val="Arial"/>
        <family val="2"/>
      </rPr>
      <t>O</t>
    </r>
  </si>
  <si>
    <r>
      <t>$ / lb P</t>
    </r>
    <r>
      <rPr>
        <b/>
        <vertAlign val="subscript"/>
        <sz val="10"/>
        <rFont val="Arial"/>
        <family val="2"/>
      </rPr>
      <t>2</t>
    </r>
    <r>
      <rPr>
        <b/>
        <sz val="10"/>
        <rFont val="Arial"/>
        <family val="2"/>
      </rPr>
      <t>O</t>
    </r>
    <r>
      <rPr>
        <b/>
        <vertAlign val="subscript"/>
        <sz val="10"/>
        <rFont val="Arial"/>
        <family val="2"/>
      </rPr>
      <t>5</t>
    </r>
  </si>
  <si>
    <t>Tons / acre as fed</t>
  </si>
  <si>
    <t>$ / hour</t>
  </si>
  <si>
    <t>Acres / hour</t>
  </si>
  <si>
    <t>Total Harvest Operations $ / acre</t>
  </si>
  <si>
    <t>Harvest Operations $ / acre</t>
  </si>
  <si>
    <t>Harvest Operations $ / hour</t>
  </si>
  <si>
    <t>Total Harvest Operations $ / hour</t>
  </si>
  <si>
    <t>Harvest Operations $ / ton</t>
  </si>
  <si>
    <t>Total Harvest Operations $ / ton</t>
  </si>
  <si>
    <t>tons / load</t>
  </si>
  <si>
    <t>tons / bag or cover</t>
  </si>
  <si>
    <t>$ / bag or cover</t>
  </si>
  <si>
    <t>$ / package</t>
  </si>
  <si>
    <t>tons / package</t>
  </si>
  <si>
    <t xml:space="preserve">N Stabilizer / Extender </t>
  </si>
  <si>
    <t>$ / 80k kernals</t>
  </si>
  <si>
    <t>$ / acre / yr</t>
  </si>
  <si>
    <t>acres / sample</t>
  </si>
  <si>
    <t>$ / sample</t>
  </si>
  <si>
    <r>
      <t>$ / lb of K</t>
    </r>
    <r>
      <rPr>
        <b/>
        <vertAlign val="subscript"/>
        <sz val="10"/>
        <rFont val="Arial"/>
        <family val="2"/>
      </rPr>
      <t>2</t>
    </r>
    <r>
      <rPr>
        <b/>
        <sz val="10"/>
        <rFont val="Arial"/>
        <family val="2"/>
      </rPr>
      <t>O</t>
    </r>
  </si>
  <si>
    <t>Price $ / ton</t>
  </si>
  <si>
    <r>
      <t>$ / lb of P</t>
    </r>
    <r>
      <rPr>
        <b/>
        <vertAlign val="subscript"/>
        <sz val="10"/>
        <rFont val="Arial"/>
        <family val="2"/>
      </rPr>
      <t>2</t>
    </r>
    <r>
      <rPr>
        <b/>
        <sz val="10"/>
        <rFont val="Arial"/>
        <family val="2"/>
      </rPr>
      <t>O</t>
    </r>
    <r>
      <rPr>
        <b/>
        <vertAlign val="subscript"/>
        <sz val="10"/>
        <rFont val="Arial"/>
        <family val="2"/>
      </rPr>
      <t>5</t>
    </r>
  </si>
  <si>
    <t>Trtmt Cost 
$ / acre</t>
  </si>
  <si>
    <t>lb nutrient / acre</t>
  </si>
  <si>
    <t>Trt cost 
$ / lb of fertilizer</t>
  </si>
  <si>
    <t>Trt rate oz / ton</t>
  </si>
  <si>
    <t>Cost $ / gal</t>
  </si>
  <si>
    <t>Trt cost $ / ac</t>
  </si>
  <si>
    <t>Trt rate oz / ac</t>
  </si>
  <si>
    <t>$ / lb of N</t>
  </si>
  <si>
    <t>Tons / acre</t>
  </si>
  <si>
    <t>bushels / acre</t>
  </si>
  <si>
    <t>bu / acre</t>
  </si>
  <si>
    <t>cost / ton / mo</t>
  </si>
  <si>
    <t>Bales / acre</t>
  </si>
  <si>
    <t>$ / bale</t>
  </si>
  <si>
    <t>ton / acre as fed</t>
  </si>
  <si>
    <t xml:space="preserve">Liquid Starter  </t>
  </si>
  <si>
    <t xml:space="preserve"> Nitrogen fertilizer  </t>
  </si>
  <si>
    <t xml:space="preserve">Nitrogen fertilizer  </t>
  </si>
  <si>
    <t>Harvest moist %</t>
  </si>
  <si>
    <t>Tons as fed / acre</t>
  </si>
  <si>
    <t>Tons / acre / yr</t>
  </si>
  <si>
    <t>Harvest Operations $ / bale</t>
  </si>
  <si>
    <t>Bales / acre / yr</t>
  </si>
  <si>
    <t>passes / acre / yr</t>
  </si>
  <si>
    <t>Passes / acre / yr</t>
  </si>
  <si>
    <t>lb seed / acre</t>
  </si>
  <si>
    <t>$ / 50 lb bag</t>
  </si>
  <si>
    <t xml:space="preserve">Corn Enterprise Budget </t>
  </si>
  <si>
    <t>Corn Silage Enterprise Budget</t>
  </si>
  <si>
    <t xml:space="preserve">Soybean Enterprise Budget </t>
  </si>
  <si>
    <t xml:space="preserve">Small Grains Enterprise Budget </t>
  </si>
  <si>
    <t xml:space="preserve">Seeding Year Haylage Enterprise </t>
  </si>
  <si>
    <t xml:space="preserve">UW Extension Crop Enterprise Budget Spreadsheet </t>
  </si>
  <si>
    <t>General Instructions</t>
  </si>
  <si>
    <t>$ / 80k kernels</t>
  </si>
  <si>
    <t>seed / acre</t>
  </si>
  <si>
    <t>SuperU</t>
  </si>
  <si>
    <t>Chopping/Hauling/Unloading</t>
  </si>
  <si>
    <t>No-Till Planter</t>
  </si>
  <si>
    <t>Seeding</t>
  </si>
  <si>
    <t xml:space="preserve">Established Haylage Enterprise </t>
  </si>
  <si>
    <t xml:space="preserve">Seeding Year Hay Enterprise </t>
  </si>
  <si>
    <t xml:space="preserve">Established Hay Enterprise </t>
  </si>
  <si>
    <t>Pricing calculators on a per pound of nutrient basis</t>
  </si>
  <si>
    <t>passes / acre</t>
  </si>
  <si>
    <t>Total Post Harvest Operations per Acre Including Hauling</t>
  </si>
  <si>
    <t>Iowa State Estimating Farm Machinery Costs</t>
  </si>
  <si>
    <t>https://www.extension.iastate.edu/agdm/crops/html/a3-29.html</t>
  </si>
  <si>
    <t>University of Illinois Farm Management Machinery Cost Operations Estimates</t>
  </si>
  <si>
    <t>Minnesota Farm Machinery Management</t>
  </si>
  <si>
    <t>https://wlazarus.cfans.umn.edu/william-f-lazarus-farm-machinery-management</t>
  </si>
  <si>
    <t>Wisconsin Custom Rate Guide</t>
  </si>
  <si>
    <t>https://cdn.shopify.com/s/files/1/0145/8808/4272/files/A2809.pdf</t>
  </si>
  <si>
    <t>A2809 Nutrient Application Guidelines for Field, Vegetable, and Fruit Crops in Wisconsin</t>
  </si>
  <si>
    <t xml:space="preserve">Annual Forage Crop </t>
  </si>
  <si>
    <t>Crop Description</t>
  </si>
  <si>
    <t>Italian Ryegrass</t>
  </si>
  <si>
    <t>Renovation/Rescue Seeding</t>
  </si>
  <si>
    <t>Mowing and Conditioning</t>
  </si>
  <si>
    <t>Windrow Merging</t>
  </si>
  <si>
    <t>Chopping, Hauling, and Filling</t>
  </si>
  <si>
    <t>Chopping, Hauling, Filling</t>
  </si>
  <si>
    <t>Raking</t>
  </si>
  <si>
    <t>Baling</t>
  </si>
  <si>
    <t>Bagger</t>
  </si>
  <si>
    <t>Packing Tractor</t>
  </si>
  <si>
    <t xml:space="preserve">Bale </t>
  </si>
  <si>
    <t>https://farmdoc.illinois.edu/management</t>
  </si>
  <si>
    <t>https://www.nass.usda.gov/Statistics_by_State/Wisconsin/Publications/WI-CRate20.pdf</t>
  </si>
  <si>
    <t>https://www.extension.iastate.edu/agdm/crops/xls/a3-29machcostcalc.xlsx</t>
  </si>
  <si>
    <t>Iowa Custom Rate Guide</t>
  </si>
  <si>
    <t>https://store.extension.iastate.edu/product/2022-Iowa-Farm-Custom-Rate-Survey</t>
  </si>
  <si>
    <t>Storage loss for hay by storage method</t>
  </si>
  <si>
    <t>Type of Storage</t>
  </si>
  <si>
    <t>Range of Dry Matter Loss</t>
  </si>
  <si>
    <t>Under roof</t>
  </si>
  <si>
    <t>2 to 10%</t>
  </si>
  <si>
    <t>Plastic wrap, on ground</t>
  </si>
  <si>
    <t>Bale sleeve, on ground</t>
  </si>
  <si>
    <t>Covered, rock pad or elevated</t>
  </si>
  <si>
    <t>Uncovered, rock pad or elevated</t>
  </si>
  <si>
    <t>Uncovered, on ground, net wrap</t>
  </si>
  <si>
    <t>Covered, on ground</t>
  </si>
  <si>
    <t>Uncovered, on ground</t>
  </si>
  <si>
    <t>4 to 7%</t>
  </si>
  <si>
    <t>4 to 8%</t>
  </si>
  <si>
    <t>2 to 17%</t>
  </si>
  <si>
    <t>3 to 46%</t>
  </si>
  <si>
    <t>6 to 25%</t>
  </si>
  <si>
    <t>4 to 46%</t>
  </si>
  <si>
    <t>5 to 61%</t>
  </si>
  <si>
    <t>Saxe, University of Wisconsin</t>
  </si>
  <si>
    <t>Bill Halfman</t>
  </si>
  <si>
    <t>Kevin Jarek</t>
  </si>
  <si>
    <t>Jerry Clark</t>
  </si>
  <si>
    <t>Carl Duley</t>
  </si>
  <si>
    <t>Dr. Carrie Laboski</t>
  </si>
  <si>
    <t>UW Crop Enterprise Budget Spreadsheet developed by:</t>
  </si>
  <si>
    <t>UW Extension Agriculture Agent- Monroe County</t>
  </si>
  <si>
    <t>UW Extension Agriculture Agent- Outagamie County</t>
  </si>
  <si>
    <t>UW Extension Agriculture Agent- Chippewa County</t>
  </si>
  <si>
    <t>former UW Extension Soils Specialist</t>
  </si>
  <si>
    <t>Reviewed by:</t>
  </si>
  <si>
    <t>Dr. Paul Mitchell</t>
  </si>
  <si>
    <t>UW Extension Ag Economist</t>
  </si>
  <si>
    <t>william.halfman@wisc.edu</t>
  </si>
  <si>
    <t>kevin.jarek@wisc.edu</t>
  </si>
  <si>
    <t>jerome.clark@wisc.edu</t>
  </si>
  <si>
    <t>pdmitchell@wisc.edu</t>
  </si>
  <si>
    <t>Grain Price and Yield Sensitivity Analysis</t>
  </si>
  <si>
    <t xml:space="preserve"> Price and Yield Sensitivity Analysis</t>
  </si>
  <si>
    <t xml:space="preserve">bale shed </t>
  </si>
  <si>
    <t>bale cover</t>
  </si>
  <si>
    <t>Haul Bales to Farm</t>
  </si>
  <si>
    <t xml:space="preserve"> Planter</t>
  </si>
  <si>
    <t>No-till Planting</t>
  </si>
  <si>
    <t>AMS</t>
  </si>
  <si>
    <t>10-34-0</t>
  </si>
  <si>
    <t xml:space="preserve">Planter </t>
  </si>
  <si>
    <t>Planting</t>
  </si>
  <si>
    <t>Cereal Rye</t>
  </si>
  <si>
    <t>Cool Season Cocktail Mix</t>
  </si>
  <si>
    <t>Sorghum Sudan Cocktail Mix</t>
  </si>
  <si>
    <t>Interseeding</t>
  </si>
  <si>
    <t xml:space="preserve"> Oats &amp; Peas</t>
  </si>
  <si>
    <t>Annual/Perennial Grass Seed</t>
  </si>
  <si>
    <t>Price per Ton</t>
  </si>
  <si>
    <t>former UW Extension Agriculture Agent- Buffalo County</t>
  </si>
  <si>
    <t>2025 Corn Grain</t>
  </si>
  <si>
    <t>2025 Corn Silage</t>
  </si>
  <si>
    <t>2025 Soybeans</t>
  </si>
  <si>
    <t>2025 Winter Wheat</t>
  </si>
  <si>
    <t>2025 New Seeding Alfalfa</t>
  </si>
  <si>
    <t>2025 Alfalfa/Grass Dry Hay</t>
  </si>
  <si>
    <t>2025 Established Haylage</t>
  </si>
  <si>
    <t xml:space="preserve">2025 Established Dry Hay </t>
  </si>
  <si>
    <t>2025 Italian Ryegrass Silage</t>
  </si>
  <si>
    <t>2025 Winter Cereal Rye</t>
  </si>
  <si>
    <t>2025 Late Summer Oats/Peas</t>
  </si>
  <si>
    <t>Cool Season Cocktail Mix '25</t>
  </si>
  <si>
    <t>Warm Season Cocktail Mix '25</t>
  </si>
  <si>
    <t>Updated: 03/17/2025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</si>
</sst>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quot;$&quot;#,##0.00"/>
    <numFmt numFmtId="165" formatCode="0.0"/>
    <numFmt numFmtId="166" formatCode="0.0%"/>
    <numFmt numFmtId="167" formatCode="&quot;$&quot;#,##0"/>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b/>
      <i/>
      <sz val="10"/>
      <name val="Arial"/>
      <family val="2"/>
    </font>
    <font>
      <b/>
      <sz val="10"/>
      <name val="Arial"/>
      <family val="2"/>
    </font>
    <font>
      <sz val="8"/>
      <name val="Arial"/>
      <family val="2"/>
    </font>
    <font>
      <i/>
      <sz val="10"/>
      <name val="Arial"/>
      <family val="2"/>
    </font>
    <font>
      <sz val="10"/>
      <name val="Arial"/>
      <family val="2"/>
    </font>
    <font>
      <b/>
      <sz val="14"/>
      <name val="Arial"/>
      <family val="2"/>
    </font>
    <font>
      <b/>
      <i/>
      <sz val="11"/>
      <name val="Arial"/>
      <family val="2"/>
    </font>
    <font>
      <b/>
      <sz val="11"/>
      <name val="Arial"/>
      <family val="2"/>
    </font>
    <font>
      <b/>
      <sz val="12"/>
      <color rgb="FF1F497D"/>
      <name val="Calibri"/>
      <family val="2"/>
    </font>
    <font>
      <sz val="11"/>
      <color rgb="FF1F497D"/>
      <name val="Calibri"/>
      <family val="2"/>
    </font>
    <font>
      <b/>
      <vertAlign val="subscript"/>
      <sz val="10"/>
      <name val="Arial"/>
      <family val="2"/>
    </font>
    <font>
      <i/>
      <sz val="9"/>
      <name val="Arial"/>
      <family val="2"/>
    </font>
    <font>
      <i/>
      <u/>
      <sz val="10"/>
      <name val="Arial"/>
      <family val="2"/>
    </font>
    <font>
      <sz val="11"/>
      <color rgb="FF000000"/>
      <name val="Arial"/>
      <family val="2"/>
    </font>
    <font>
      <sz val="9"/>
      <color rgb="FF000000"/>
      <name val="Calibri Light"/>
      <family val="2"/>
    </font>
    <font>
      <i/>
      <sz val="9"/>
      <color rgb="FF000000"/>
      <name val="Calibri Light"/>
      <family val="2"/>
    </font>
    <font>
      <sz val="14"/>
      <name val="Arial"/>
      <family val="2"/>
    </font>
    <font>
      <sz val="10"/>
      <name val="Arial"/>
      <family val="2"/>
    </font>
    <font>
      <b/>
      <sz val="10"/>
      <color theme="0"/>
      <name val="Arial"/>
      <family val="2"/>
    </font>
    <font>
      <sz val="11"/>
      <name val="Calibri"/>
      <family val="2"/>
      <scheme val="minor"/>
    </font>
    <font>
      <sz val="10"/>
      <color theme="0"/>
      <name val="Arial"/>
      <family val="2"/>
    </font>
    <font>
      <sz val="11"/>
      <color rgb="FF000000"/>
      <name val="Calibri"/>
      <family val="2"/>
    </font>
    <font>
      <b/>
      <u/>
      <sz val="11"/>
      <color theme="1"/>
      <name val="Calibri"/>
      <family val="2"/>
      <scheme val="minor"/>
    </font>
    <font>
      <b/>
      <i/>
      <sz val="11"/>
      <color theme="1"/>
      <name val="Calibri"/>
      <family val="2"/>
      <scheme val="minor"/>
    </font>
    <font>
      <sz val="10"/>
      <color theme="1"/>
      <name val="Calibri"/>
      <family val="2"/>
      <scheme val="minor"/>
    </font>
    <font>
      <b/>
      <sz val="16"/>
      <color theme="1"/>
      <name val="Calibri"/>
      <family val="2"/>
    </font>
    <font>
      <sz val="11"/>
      <name val="Calibri"/>
      <family val="2"/>
    </font>
    <font>
      <u/>
      <sz val="11"/>
      <color theme="1"/>
      <name val="Calibri"/>
      <family val="2"/>
      <scheme val="minor"/>
    </font>
    <font>
      <sz val="10"/>
      <color rgb="FF000000"/>
      <name val="Arial"/>
      <family val="2"/>
    </font>
  </fonts>
  <fills count="13">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3" tint="0.79998168889431442"/>
        <bgColor indexed="64"/>
      </patternFill>
    </fill>
    <fill>
      <patternFill patternType="solid">
        <fgColor rgb="FFF0F090"/>
        <bgColor indexed="64"/>
      </patternFill>
    </fill>
    <fill>
      <patternFill patternType="solid">
        <fgColor theme="1"/>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alignment vertical="top"/>
      <protection locked="0"/>
    </xf>
    <xf numFmtId="44" fontId="23" fillId="0" borderId="0" applyFont="0" applyFill="0" applyBorder="0" applyAlignment="0" applyProtection="0"/>
  </cellStyleXfs>
  <cellXfs count="360">
    <xf numFmtId="0" fontId="0" fillId="0" borderId="0" xfId="0"/>
    <xf numFmtId="0" fontId="0" fillId="0" borderId="0" xfId="0" applyProtection="1">
      <protection locked="0"/>
    </xf>
    <xf numFmtId="0" fontId="11" fillId="0" borderId="0" xfId="0" applyFont="1"/>
    <xf numFmtId="2" fontId="0" fillId="0" borderId="0" xfId="0" applyNumberFormat="1" applyAlignment="1">
      <alignment horizontal="center"/>
    </xf>
    <xf numFmtId="0" fontId="0" fillId="0" borderId="0" xfId="0" applyAlignment="1">
      <alignment horizontal="center"/>
    </xf>
    <xf numFmtId="0" fontId="0" fillId="0" borderId="0" xfId="0" applyAlignment="1">
      <alignment horizontal="right"/>
    </xf>
    <xf numFmtId="2" fontId="0" fillId="0" borderId="0" xfId="0" applyNumberFormat="1"/>
    <xf numFmtId="0" fontId="7" fillId="0" borderId="0" xfId="0" applyFont="1" applyAlignment="1">
      <alignment horizontal="center"/>
    </xf>
    <xf numFmtId="2" fontId="7" fillId="0" borderId="0" xfId="0" applyNumberFormat="1" applyFont="1" applyAlignment="1">
      <alignment horizontal="right"/>
    </xf>
    <xf numFmtId="1" fontId="0" fillId="0" borderId="0" xfId="0" applyNumberFormat="1" applyAlignment="1">
      <alignment horizontal="center"/>
    </xf>
    <xf numFmtId="2" fontId="0" fillId="0" borderId="0" xfId="0" applyNumberFormat="1" applyAlignment="1">
      <alignment horizontal="right"/>
    </xf>
    <xf numFmtId="0" fontId="7" fillId="0" borderId="0" xfId="0" applyFont="1" applyAlignment="1">
      <alignment horizontal="left"/>
    </xf>
    <xf numFmtId="1" fontId="0" fillId="0" borderId="0" xfId="0" applyNumberFormat="1"/>
    <xf numFmtId="0" fontId="9" fillId="0" borderId="0" xfId="0" applyFont="1"/>
    <xf numFmtId="2" fontId="7" fillId="0" borderId="0" xfId="0" applyNumberFormat="1" applyFont="1" applyAlignment="1">
      <alignment horizontal="left"/>
    </xf>
    <xf numFmtId="0" fontId="0" fillId="0" borderId="0" xfId="0" applyAlignment="1">
      <alignment horizontal="left"/>
    </xf>
    <xf numFmtId="0" fontId="7" fillId="0" borderId="0" xfId="0" applyFont="1" applyAlignment="1">
      <alignment horizontal="right"/>
    </xf>
    <xf numFmtId="0" fontId="7" fillId="0" borderId="0" xfId="0" applyFont="1"/>
    <xf numFmtId="0" fontId="9" fillId="0" borderId="0" xfId="0" applyFont="1" applyAlignment="1">
      <alignment horizontal="left"/>
    </xf>
    <xf numFmtId="0" fontId="13" fillId="0" borderId="0" xfId="0" applyFont="1"/>
    <xf numFmtId="0" fontId="4" fillId="0" borderId="0" xfId="0" applyFont="1"/>
    <xf numFmtId="0" fontId="12" fillId="0" borderId="0" xfId="0" applyFont="1"/>
    <xf numFmtId="0" fontId="0" fillId="2" borderId="1" xfId="0" applyFill="1" applyBorder="1" applyAlignment="1">
      <alignment horizontal="center"/>
    </xf>
    <xf numFmtId="0" fontId="0" fillId="3" borderId="1" xfId="0" applyFill="1" applyBorder="1"/>
    <xf numFmtId="0" fontId="0" fillId="2" borderId="1" xfId="0" quotePrefix="1" applyFill="1" applyBorder="1" applyAlignment="1">
      <alignment horizontal="center"/>
    </xf>
    <xf numFmtId="1" fontId="0" fillId="2" borderId="2" xfId="0" applyNumberFormat="1" applyFill="1" applyBorder="1" applyAlignment="1">
      <alignment horizontal="center"/>
    </xf>
    <xf numFmtId="0" fontId="14" fillId="0" borderId="0" xfId="0" applyFont="1" applyAlignment="1">
      <alignment vertical="center" wrapText="1"/>
    </xf>
    <xf numFmtId="0" fontId="15" fillId="0" borderId="0" xfId="0" applyFont="1" applyAlignment="1">
      <alignment vertical="center" wrapText="1"/>
    </xf>
    <xf numFmtId="0" fontId="5" fillId="0" borderId="0" xfId="1" applyAlignment="1" applyProtection="1">
      <alignment vertical="center" wrapText="1"/>
    </xf>
    <xf numFmtId="0" fontId="0" fillId="0" borderId="0" xfId="0" applyAlignment="1">
      <alignment wrapText="1"/>
    </xf>
    <xf numFmtId="0" fontId="10" fillId="0" borderId="0" xfId="0" applyFont="1" applyAlignment="1">
      <alignment horizontal="left"/>
    </xf>
    <xf numFmtId="0" fontId="10" fillId="0" borderId="0" xfId="0" applyFont="1"/>
    <xf numFmtId="0" fontId="10" fillId="0" borderId="0" xfId="0" applyFont="1" applyAlignment="1">
      <alignment horizontal="right" vertical="center"/>
    </xf>
    <xf numFmtId="0" fontId="4" fillId="0" borderId="0" xfId="0" applyFont="1" applyAlignment="1">
      <alignment horizontal="left"/>
    </xf>
    <xf numFmtId="14" fontId="10" fillId="0" borderId="0" xfId="0" quotePrefix="1" applyNumberFormat="1" applyFont="1"/>
    <xf numFmtId="0" fontId="15" fillId="0" borderId="0" xfId="0" applyFont="1" applyAlignment="1">
      <alignment vertical="center"/>
    </xf>
    <xf numFmtId="0" fontId="5" fillId="0" borderId="0" xfId="1" applyAlignment="1" applyProtection="1"/>
    <xf numFmtId="2" fontId="4" fillId="0" borderId="0" xfId="0" applyNumberFormat="1" applyFont="1" applyAlignment="1">
      <alignment horizontal="center"/>
    </xf>
    <xf numFmtId="0" fontId="17" fillId="0" borderId="0" xfId="0" applyFont="1"/>
    <xf numFmtId="0" fontId="4" fillId="0" borderId="0" xfId="0" applyFont="1" applyAlignment="1">
      <alignment horizontal="right" vertical="center"/>
    </xf>
    <xf numFmtId="0" fontId="4" fillId="0" borderId="0" xfId="0" applyFont="1" applyAlignment="1">
      <alignment horizontal="center"/>
    </xf>
    <xf numFmtId="0" fontId="5" fillId="0" borderId="0" xfId="1" applyAlignment="1" applyProtection="1">
      <alignment wrapText="1"/>
    </xf>
    <xf numFmtId="1" fontId="0" fillId="0" borderId="0" xfId="0" applyNumberFormat="1" applyAlignment="1" applyProtection="1">
      <alignment horizontal="center"/>
      <protection locked="0"/>
    </xf>
    <xf numFmtId="2" fontId="0" fillId="0" borderId="0" xfId="0" applyNumberFormat="1" applyAlignment="1" applyProtection="1">
      <alignment horizontal="right"/>
      <protection locked="0"/>
    </xf>
    <xf numFmtId="1" fontId="4" fillId="0" borderId="0" xfId="0" applyNumberFormat="1" applyFont="1" applyAlignment="1" applyProtection="1">
      <alignment horizontal="center"/>
      <protection locked="0"/>
    </xf>
    <xf numFmtId="0" fontId="0" fillId="0" borderId="0" xfId="0" quotePrefix="1" applyAlignment="1">
      <alignment horizontal="center"/>
    </xf>
    <xf numFmtId="2" fontId="0" fillId="0" borderId="0" xfId="0" applyNumberFormat="1" applyAlignment="1">
      <alignment horizontal="right" vertical="center"/>
    </xf>
    <xf numFmtId="1" fontId="0" fillId="0" borderId="0" xfId="0" applyNumberFormat="1" applyAlignment="1" applyProtection="1">
      <alignment horizontal="center" vertical="center"/>
      <protection locked="0"/>
    </xf>
    <xf numFmtId="0" fontId="4" fillId="0" borderId="0" xfId="0" applyFont="1" applyAlignment="1">
      <alignment horizontal="right"/>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4" fillId="0" borderId="1" xfId="0" applyFont="1" applyBorder="1" applyAlignment="1">
      <alignment horizontal="right"/>
    </xf>
    <xf numFmtId="2" fontId="0" fillId="0" borderId="0" xfId="0" applyNumberFormat="1" applyAlignment="1" applyProtection="1">
      <alignment horizontal="center"/>
      <protection locked="0"/>
    </xf>
    <xf numFmtId="2" fontId="7" fillId="0" borderId="0" xfId="0" applyNumberFormat="1" applyFont="1" applyAlignment="1">
      <alignment horizontal="center"/>
    </xf>
    <xf numFmtId="2" fontId="7" fillId="0" borderId="0" xfId="0" applyNumberFormat="1" applyFont="1" applyAlignment="1">
      <alignment horizontal="right" vertical="center"/>
    </xf>
    <xf numFmtId="1" fontId="0" fillId="0" borderId="0" xfId="0" applyNumberFormat="1" applyAlignment="1" applyProtection="1">
      <alignment horizontal="right"/>
      <protection locked="0"/>
    </xf>
    <xf numFmtId="166" fontId="0" fillId="0" borderId="0" xfId="0" applyNumberFormat="1"/>
    <xf numFmtId="166" fontId="0" fillId="0" borderId="1" xfId="0" applyNumberFormat="1" applyBorder="1"/>
    <xf numFmtId="9" fontId="0" fillId="0" borderId="1" xfId="0" applyNumberFormat="1" applyBorder="1" applyAlignment="1">
      <alignment horizontal="right"/>
    </xf>
    <xf numFmtId="0" fontId="0" fillId="4" borderId="1" xfId="0" applyFill="1" applyBorder="1" applyProtection="1">
      <protection locked="0"/>
    </xf>
    <xf numFmtId="9" fontId="7" fillId="0" borderId="0" xfId="0" applyNumberFormat="1" applyFont="1" applyAlignment="1">
      <alignment horizontal="center"/>
    </xf>
    <xf numFmtId="4" fontId="0" fillId="4" borderId="1" xfId="0" applyNumberFormat="1" applyFill="1" applyBorder="1" applyProtection="1">
      <protection locked="0"/>
    </xf>
    <xf numFmtId="166" fontId="0" fillId="0" borderId="1" xfId="0" applyNumberFormat="1" applyBorder="1" applyProtection="1">
      <protection locked="0"/>
    </xf>
    <xf numFmtId="4" fontId="0" fillId="0" borderId="0" xfId="0" applyNumberFormat="1"/>
    <xf numFmtId="0" fontId="6" fillId="0" borderId="0" xfId="0" applyFont="1" applyAlignment="1">
      <alignment horizontal="left"/>
    </xf>
    <xf numFmtId="166" fontId="0" fillId="0" borderId="1" xfId="0" applyNumberFormat="1" applyBorder="1" applyAlignment="1" applyProtection="1">
      <alignment horizontal="right"/>
      <protection locked="0"/>
    </xf>
    <xf numFmtId="2" fontId="0" fillId="4" borderId="1" xfId="0" applyNumberFormat="1" applyFill="1" applyBorder="1" applyAlignment="1">
      <alignment horizontal="center"/>
    </xf>
    <xf numFmtId="1" fontId="0" fillId="4" borderId="1" xfId="0" applyNumberFormat="1" applyFill="1" applyBorder="1" applyAlignment="1" applyProtection="1">
      <alignment horizontal="center"/>
      <protection locked="0"/>
    </xf>
    <xf numFmtId="165" fontId="0" fillId="4" borderId="1" xfId="0" applyNumberFormat="1" applyFill="1" applyBorder="1" applyProtection="1">
      <protection locked="0"/>
    </xf>
    <xf numFmtId="0" fontId="7" fillId="0" borderId="0" xfId="0" applyFont="1" applyAlignment="1">
      <alignment horizontal="center" wrapText="1"/>
    </xf>
    <xf numFmtId="2" fontId="0" fillId="4" borderId="2" xfId="0" applyNumberFormat="1" applyFill="1" applyBorder="1" applyAlignment="1" applyProtection="1">
      <alignment horizontal="right"/>
      <protection locked="0"/>
    </xf>
    <xf numFmtId="0" fontId="6" fillId="0" borderId="0" xfId="0" applyFont="1"/>
    <xf numFmtId="9" fontId="7" fillId="0" borderId="0" xfId="0" applyNumberFormat="1" applyFont="1"/>
    <xf numFmtId="0" fontId="7" fillId="3" borderId="2" xfId="0" applyFont="1" applyFill="1" applyBorder="1" applyAlignment="1">
      <alignment horizontal="center"/>
    </xf>
    <xf numFmtId="0" fontId="7" fillId="3" borderId="8" xfId="0" applyFont="1" applyFill="1" applyBorder="1" applyAlignment="1">
      <alignment horizontal="center"/>
    </xf>
    <xf numFmtId="0" fontId="7" fillId="3" borderId="10" xfId="0" applyFont="1" applyFill="1" applyBorder="1" applyAlignment="1">
      <alignment horizontal="center"/>
    </xf>
    <xf numFmtId="1" fontId="0" fillId="4" borderId="11" xfId="0" applyNumberFormat="1" applyFill="1" applyBorder="1" applyAlignment="1" applyProtection="1">
      <alignment horizontal="center"/>
      <protection locked="0"/>
    </xf>
    <xf numFmtId="1" fontId="0" fillId="4" borderId="1" xfId="0" applyNumberFormat="1" applyFill="1" applyBorder="1" applyAlignment="1" applyProtection="1">
      <alignment horizontal="center" vertical="center"/>
      <protection locked="0"/>
    </xf>
    <xf numFmtId="2" fontId="0" fillId="5" borderId="1" xfId="0" applyNumberFormat="1" applyFill="1" applyBorder="1" applyAlignment="1">
      <alignment horizontal="center"/>
    </xf>
    <xf numFmtId="0" fontId="18" fillId="0" borderId="0" xfId="0" applyFont="1"/>
    <xf numFmtId="0" fontId="0" fillId="0" borderId="1" xfId="0" applyBorder="1" applyAlignment="1">
      <alignment horizontal="center"/>
    </xf>
    <xf numFmtId="0" fontId="4" fillId="0" borderId="1" xfId="0" applyFont="1" applyBorder="1"/>
    <xf numFmtId="2" fontId="4" fillId="0" borderId="0" xfId="0" applyNumberFormat="1" applyFont="1" applyAlignment="1">
      <alignment horizontal="right"/>
    </xf>
    <xf numFmtId="165" fontId="4" fillId="0" borderId="0" xfId="0" applyNumberFormat="1" applyFont="1" applyProtection="1">
      <protection locked="0"/>
    </xf>
    <xf numFmtId="0" fontId="0" fillId="0" borderId="1" xfId="0" applyBorder="1"/>
    <xf numFmtId="0" fontId="4" fillId="5" borderId="2" xfId="0" applyFont="1" applyFill="1" applyBorder="1"/>
    <xf numFmtId="0" fontId="0" fillId="5" borderId="8" xfId="0" applyFill="1" applyBorder="1"/>
    <xf numFmtId="0" fontId="0" fillId="5" borderId="10" xfId="0" applyFill="1" applyBorder="1"/>
    <xf numFmtId="44" fontId="0" fillId="4" borderId="9" xfId="0" applyNumberFormat="1" applyFill="1" applyBorder="1" applyAlignment="1" applyProtection="1">
      <alignment horizontal="right"/>
      <protection locked="0"/>
    </xf>
    <xf numFmtId="44" fontId="0" fillId="4" borderId="1" xfId="0" applyNumberFormat="1" applyFill="1" applyBorder="1" applyAlignment="1" applyProtection="1">
      <alignment horizontal="right"/>
      <protection locked="0"/>
    </xf>
    <xf numFmtId="44" fontId="0" fillId="4" borderId="2" xfId="0" applyNumberFormat="1" applyFill="1" applyBorder="1" applyAlignment="1" applyProtection="1">
      <alignment horizontal="right"/>
      <protection locked="0"/>
    </xf>
    <xf numFmtId="0" fontId="0" fillId="6" borderId="0" xfId="0" applyFill="1"/>
    <xf numFmtId="44" fontId="0" fillId="0" borderId="0" xfId="0" applyNumberFormat="1" applyAlignment="1">
      <alignment horizontal="right"/>
    </xf>
    <xf numFmtId="14" fontId="4" fillId="0" borderId="0" xfId="0" applyNumberFormat="1" applyFont="1" applyAlignment="1">
      <alignment horizontal="right"/>
    </xf>
    <xf numFmtId="0" fontId="9" fillId="7" borderId="0" xfId="0" applyFont="1" applyFill="1" applyAlignment="1">
      <alignment horizontal="left" vertical="center"/>
    </xf>
    <xf numFmtId="0" fontId="0" fillId="7" borderId="0" xfId="0" applyFill="1" applyAlignment="1">
      <alignment horizontal="center"/>
    </xf>
    <xf numFmtId="0" fontId="0" fillId="7" borderId="0" xfId="0" applyFill="1"/>
    <xf numFmtId="0" fontId="9" fillId="7" borderId="0" xfId="0" applyFont="1" applyFill="1" applyAlignment="1">
      <alignment horizontal="left"/>
    </xf>
    <xf numFmtId="0" fontId="17" fillId="7" borderId="0" xfId="0" applyFont="1" applyFill="1" applyAlignment="1">
      <alignment horizontal="left"/>
    </xf>
    <xf numFmtId="2" fontId="0" fillId="7" borderId="0" xfId="0" applyNumberFormat="1" applyFill="1" applyAlignment="1">
      <alignment horizontal="center"/>
    </xf>
    <xf numFmtId="0" fontId="9" fillId="0" borderId="0" xfId="0" applyFont="1" applyAlignment="1">
      <alignment horizontal="center"/>
    </xf>
    <xf numFmtId="44" fontId="0" fillId="0" borderId="1" xfId="0" applyNumberFormat="1" applyBorder="1" applyAlignment="1">
      <alignment horizontal="right"/>
    </xf>
    <xf numFmtId="0" fontId="0" fillId="6" borderId="0" xfId="0" applyFill="1" applyAlignment="1">
      <alignment horizontal="right"/>
    </xf>
    <xf numFmtId="3" fontId="0" fillId="6" borderId="0" xfId="0" applyNumberFormat="1" applyFill="1" applyAlignment="1" applyProtection="1">
      <alignment horizontal="center"/>
      <protection locked="0"/>
    </xf>
    <xf numFmtId="2" fontId="0" fillId="6" borderId="0" xfId="0" applyNumberFormat="1" applyFill="1" applyAlignment="1">
      <alignment horizontal="center"/>
    </xf>
    <xf numFmtId="0" fontId="4" fillId="6" borderId="0" xfId="0" applyFont="1" applyFill="1" applyAlignment="1">
      <alignment horizontal="center"/>
    </xf>
    <xf numFmtId="1" fontId="0" fillId="6" borderId="0" xfId="0" applyNumberFormat="1" applyFill="1" applyAlignment="1" applyProtection="1">
      <alignment horizontal="center"/>
      <protection locked="0"/>
    </xf>
    <xf numFmtId="2" fontId="0" fillId="6" borderId="0" xfId="0" applyNumberFormat="1" applyFill="1" applyAlignment="1" applyProtection="1">
      <alignment horizontal="right"/>
      <protection locked="0"/>
    </xf>
    <xf numFmtId="2" fontId="0" fillId="6" borderId="0" xfId="0" applyNumberFormat="1" applyFill="1" applyAlignment="1">
      <alignment horizontal="right"/>
    </xf>
    <xf numFmtId="0" fontId="24" fillId="6" borderId="0" xfId="0" applyFont="1" applyFill="1" applyAlignment="1">
      <alignment horizontal="left"/>
    </xf>
    <xf numFmtId="0" fontId="24" fillId="6" borderId="0" xfId="0" applyFont="1" applyFill="1"/>
    <xf numFmtId="0" fontId="0" fillId="6" borderId="0" xfId="0" applyFill="1" applyAlignment="1">
      <alignment horizontal="center"/>
    </xf>
    <xf numFmtId="0" fontId="7" fillId="7" borderId="0" xfId="0" applyFont="1" applyFill="1" applyAlignment="1">
      <alignment horizontal="left"/>
    </xf>
    <xf numFmtId="2" fontId="0" fillId="7" borderId="0" xfId="0" applyNumberFormat="1" applyFill="1"/>
    <xf numFmtId="0" fontId="7" fillId="7" borderId="0" xfId="0" applyFont="1" applyFill="1"/>
    <xf numFmtId="2" fontId="7" fillId="7" borderId="0" xfId="0" applyNumberFormat="1" applyFont="1" applyFill="1"/>
    <xf numFmtId="0" fontId="0" fillId="6" borderId="7" xfId="0" applyFill="1" applyBorder="1"/>
    <xf numFmtId="2" fontId="0" fillId="6" borderId="7" xfId="0" applyNumberFormat="1" applyFill="1" applyBorder="1" applyAlignment="1">
      <alignment horizontal="center"/>
    </xf>
    <xf numFmtId="0" fontId="24" fillId="6" borderId="7" xfId="0" applyFont="1" applyFill="1" applyBorder="1"/>
    <xf numFmtId="0" fontId="26" fillId="6" borderId="7" xfId="0" applyFont="1" applyFill="1" applyBorder="1"/>
    <xf numFmtId="2" fontId="26" fillId="6" borderId="7" xfId="0" applyNumberFormat="1" applyFont="1" applyFill="1" applyBorder="1" applyAlignment="1">
      <alignment horizontal="center"/>
    </xf>
    <xf numFmtId="0" fontId="26" fillId="6" borderId="0" xfId="0" applyFont="1" applyFill="1"/>
    <xf numFmtId="165" fontId="0" fillId="0" borderId="0" xfId="0" applyNumberFormat="1" applyProtection="1">
      <protection locked="0"/>
    </xf>
    <xf numFmtId="44" fontId="0" fillId="4" borderId="1" xfId="0" applyNumberFormat="1" applyFill="1" applyBorder="1" applyProtection="1">
      <protection locked="0"/>
    </xf>
    <xf numFmtId="165" fontId="0" fillId="0" borderId="4" xfId="0" applyNumberFormat="1" applyBorder="1" applyProtection="1">
      <protection locked="0"/>
    </xf>
    <xf numFmtId="44" fontId="7" fillId="0" borderId="0" xfId="0" applyNumberFormat="1" applyFont="1" applyAlignment="1">
      <alignment horizontal="right"/>
    </xf>
    <xf numFmtId="0" fontId="4" fillId="6" borderId="0" xfId="0" applyFont="1" applyFill="1" applyAlignment="1">
      <alignment horizontal="right"/>
    </xf>
    <xf numFmtId="0" fontId="25" fillId="0" borderId="0" xfId="0" applyFont="1"/>
    <xf numFmtId="0" fontId="27" fillId="0" borderId="0" xfId="0" applyFont="1"/>
    <xf numFmtId="1" fontId="0" fillId="6" borderId="0" xfId="0" applyNumberFormat="1" applyFill="1" applyAlignment="1">
      <alignment horizontal="center"/>
    </xf>
    <xf numFmtId="2" fontId="24" fillId="6" borderId="0" xfId="0" applyNumberFormat="1" applyFont="1" applyFill="1" applyAlignment="1">
      <alignment horizontal="left"/>
    </xf>
    <xf numFmtId="0" fontId="4" fillId="0" borderId="7" xfId="0" applyFont="1" applyBorder="1" applyAlignment="1">
      <alignment horizontal="center"/>
    </xf>
    <xf numFmtId="2" fontId="0" fillId="6" borderId="1" xfId="0" applyNumberFormat="1" applyFill="1" applyBorder="1" applyAlignment="1">
      <alignment horizontal="right"/>
    </xf>
    <xf numFmtId="1" fontId="4" fillId="0" borderId="1" xfId="0" applyNumberFormat="1" applyFont="1" applyBorder="1" applyAlignment="1" applyProtection="1">
      <alignment horizontal="center"/>
      <protection locked="0"/>
    </xf>
    <xf numFmtId="0" fontId="0" fillId="6" borderId="0" xfId="0" applyFill="1" applyAlignment="1" applyProtection="1">
      <alignment horizontal="center"/>
      <protection locked="0"/>
    </xf>
    <xf numFmtId="2" fontId="0" fillId="6" borderId="0" xfId="0" applyNumberFormat="1" applyFill="1" applyProtection="1">
      <protection locked="0"/>
    </xf>
    <xf numFmtId="2" fontId="0" fillId="4" borderId="3" xfId="0" applyNumberFormat="1" applyFill="1" applyBorder="1" applyAlignment="1" applyProtection="1">
      <alignment horizontal="right"/>
      <protection locked="0"/>
    </xf>
    <xf numFmtId="0" fontId="24" fillId="6" borderId="12" xfId="0" applyFont="1" applyFill="1" applyBorder="1" applyAlignment="1">
      <alignment horizontal="left"/>
    </xf>
    <xf numFmtId="1" fontId="0" fillId="6" borderId="12" xfId="0" applyNumberFormat="1" applyFill="1" applyBorder="1" applyAlignment="1" applyProtection="1">
      <alignment horizontal="center"/>
      <protection locked="0"/>
    </xf>
    <xf numFmtId="2" fontId="0" fillId="6" borderId="5" xfId="0" applyNumberFormat="1" applyFill="1" applyBorder="1" applyAlignment="1" applyProtection="1">
      <alignment horizontal="right"/>
      <protection locked="0"/>
    </xf>
    <xf numFmtId="2" fontId="0" fillId="6" borderId="12" xfId="0" applyNumberFormat="1" applyFill="1" applyBorder="1" applyAlignment="1">
      <alignment horizontal="right"/>
    </xf>
    <xf numFmtId="44" fontId="0" fillId="6" borderId="9" xfId="0" applyNumberFormat="1" applyFill="1" applyBorder="1" applyAlignment="1">
      <alignment horizontal="right"/>
    </xf>
    <xf numFmtId="2" fontId="4" fillId="0" borderId="0" xfId="0" applyNumberFormat="1" applyFont="1" applyAlignment="1">
      <alignment horizontal="left"/>
    </xf>
    <xf numFmtId="2" fontId="24" fillId="0" borderId="0" xfId="0" applyNumberFormat="1" applyFont="1" applyAlignment="1">
      <alignment horizontal="left"/>
    </xf>
    <xf numFmtId="44" fontId="0" fillId="6" borderId="0" xfId="0" applyNumberFormat="1" applyFill="1" applyAlignment="1">
      <alignment horizontal="right"/>
    </xf>
    <xf numFmtId="0" fontId="7" fillId="0" borderId="6" xfId="0" applyFont="1" applyBorder="1" applyAlignment="1">
      <alignment horizontal="left"/>
    </xf>
    <xf numFmtId="0" fontId="4" fillId="0" borderId="6" xfId="0" applyFont="1" applyBorder="1" applyAlignment="1">
      <alignment horizontal="center"/>
    </xf>
    <xf numFmtId="1" fontId="0" fillId="0" borderId="6" xfId="0" applyNumberFormat="1" applyBorder="1" applyAlignment="1" applyProtection="1">
      <alignment horizontal="center"/>
      <protection locked="0"/>
    </xf>
    <xf numFmtId="2" fontId="0" fillId="0" borderId="6" xfId="0" applyNumberFormat="1" applyBorder="1" applyAlignment="1" applyProtection="1">
      <alignment horizontal="right"/>
      <protection locked="0"/>
    </xf>
    <xf numFmtId="0" fontId="0" fillId="4" borderId="11" xfId="0" applyFill="1" applyBorder="1" applyAlignment="1" applyProtection="1">
      <alignment horizontal="center"/>
      <protection locked="0"/>
    </xf>
    <xf numFmtId="2" fontId="0" fillId="4" borderId="11" xfId="0" applyNumberFormat="1" applyFill="1" applyBorder="1" applyProtection="1">
      <protection locked="0"/>
    </xf>
    <xf numFmtId="0" fontId="7" fillId="0" borderId="6" xfId="0" applyFont="1" applyBorder="1"/>
    <xf numFmtId="0" fontId="0" fillId="0" borderId="6" xfId="0" applyBorder="1" applyAlignment="1">
      <alignment horizontal="right"/>
    </xf>
    <xf numFmtId="0" fontId="0" fillId="0" borderId="6" xfId="0" applyBorder="1" applyAlignment="1" applyProtection="1">
      <alignment horizontal="center"/>
      <protection locked="0"/>
    </xf>
    <xf numFmtId="2" fontId="0" fillId="0" borderId="6" xfId="0" applyNumberFormat="1" applyBorder="1" applyProtection="1">
      <protection locked="0"/>
    </xf>
    <xf numFmtId="2" fontId="7" fillId="0" borderId="6" xfId="0" applyNumberFormat="1" applyFont="1" applyBorder="1" applyAlignment="1">
      <alignment horizontal="left"/>
    </xf>
    <xf numFmtId="2" fontId="0" fillId="0" borderId="6" xfId="0" applyNumberFormat="1" applyBorder="1" applyAlignment="1">
      <alignment horizontal="center"/>
    </xf>
    <xf numFmtId="3" fontId="0" fillId="0" borderId="6" xfId="0" applyNumberFormat="1" applyBorder="1" applyAlignment="1" applyProtection="1">
      <alignment horizontal="center"/>
      <protection locked="0"/>
    </xf>
    <xf numFmtId="0" fontId="0" fillId="0" borderId="6" xfId="0" applyBorder="1"/>
    <xf numFmtId="1" fontId="0" fillId="7" borderId="0" xfId="0" applyNumberFormat="1" applyFill="1" applyAlignment="1" applyProtection="1">
      <alignment horizontal="center" vertical="center"/>
      <protection locked="0"/>
    </xf>
    <xf numFmtId="2" fontId="0" fillId="7" borderId="0" xfId="0" applyNumberFormat="1" applyFill="1" applyAlignment="1">
      <alignment horizontal="right" vertical="center"/>
    </xf>
    <xf numFmtId="1" fontId="4" fillId="0" borderId="0" xfId="0" applyNumberFormat="1" applyFont="1" applyAlignment="1">
      <alignment horizontal="right"/>
    </xf>
    <xf numFmtId="44" fontId="0" fillId="0" borderId="0" xfId="0" applyNumberFormat="1" applyAlignment="1">
      <alignment horizontal="center"/>
    </xf>
    <xf numFmtId="44" fontId="0" fillId="0" borderId="0" xfId="0" applyNumberFormat="1" applyAlignment="1" applyProtection="1">
      <alignment horizontal="right"/>
      <protection locked="0"/>
    </xf>
    <xf numFmtId="2" fontId="0" fillId="0" borderId="4" xfId="0" applyNumberFormat="1" applyBorder="1" applyAlignment="1" applyProtection="1">
      <alignment horizontal="right"/>
      <protection locked="0"/>
    </xf>
    <xf numFmtId="0" fontId="4" fillId="0" borderId="1" xfId="0" applyFont="1" applyBorder="1" applyAlignment="1">
      <alignment horizontal="left"/>
    </xf>
    <xf numFmtId="165" fontId="0" fillId="4" borderId="1" xfId="0" applyNumberFormat="1" applyFill="1" applyBorder="1" applyAlignment="1" applyProtection="1">
      <alignment horizontal="center"/>
      <protection locked="0"/>
    </xf>
    <xf numFmtId="0" fontId="7" fillId="0" borderId="1" xfId="0" applyFont="1" applyBorder="1" applyAlignment="1">
      <alignment horizontal="left"/>
    </xf>
    <xf numFmtId="44" fontId="0" fillId="4" borderId="1" xfId="0" applyNumberFormat="1" applyFill="1" applyBorder="1" applyAlignment="1" applyProtection="1">
      <alignment horizontal="center"/>
      <protection locked="0"/>
    </xf>
    <xf numFmtId="44" fontId="0" fillId="4" borderId="11" xfId="0" applyNumberFormat="1" applyFill="1" applyBorder="1" applyAlignment="1" applyProtection="1">
      <alignment horizontal="center"/>
      <protection locked="0"/>
    </xf>
    <xf numFmtId="44" fontId="0" fillId="4" borderId="11" xfId="0" applyNumberFormat="1" applyFill="1" applyBorder="1" applyProtection="1">
      <protection locked="0"/>
    </xf>
    <xf numFmtId="1" fontId="4" fillId="4" borderId="1" xfId="0" applyNumberFormat="1" applyFont="1" applyFill="1" applyBorder="1" applyAlignment="1" applyProtection="1">
      <alignment horizontal="center"/>
      <protection locked="0"/>
    </xf>
    <xf numFmtId="44" fontId="4" fillId="4" borderId="1" xfId="0" applyNumberFormat="1" applyFont="1" applyFill="1" applyBorder="1" applyAlignment="1" applyProtection="1">
      <alignment horizontal="center"/>
      <protection locked="0"/>
    </xf>
    <xf numFmtId="44" fontId="0" fillId="4" borderId="3" xfId="0" applyNumberFormat="1" applyFill="1" applyBorder="1" applyAlignment="1" applyProtection="1">
      <alignment horizontal="right"/>
      <protection locked="0"/>
    </xf>
    <xf numFmtId="0" fontId="24" fillId="0" borderId="0" xfId="0" applyFont="1"/>
    <xf numFmtId="0" fontId="0" fillId="5" borderId="2" xfId="0" applyFill="1" applyBorder="1"/>
    <xf numFmtId="0" fontId="3" fillId="5" borderId="8" xfId="0" applyFont="1" applyFill="1" applyBorder="1"/>
    <xf numFmtId="0" fontId="3" fillId="5" borderId="6" xfId="0" applyFont="1" applyFill="1" applyBorder="1"/>
    <xf numFmtId="0" fontId="3" fillId="5" borderId="4" xfId="0" applyFont="1" applyFill="1" applyBorder="1"/>
    <xf numFmtId="0" fontId="28" fillId="5" borderId="5" xfId="0" applyFont="1" applyFill="1" applyBorder="1"/>
    <xf numFmtId="0" fontId="3" fillId="5" borderId="0" xfId="0" applyFont="1" applyFill="1"/>
    <xf numFmtId="0" fontId="28" fillId="5" borderId="0" xfId="0" applyFont="1" applyFill="1"/>
    <xf numFmtId="0" fontId="3" fillId="5" borderId="5" xfId="0" applyFont="1" applyFill="1" applyBorder="1"/>
    <xf numFmtId="0" fontId="3" fillId="5" borderId="13" xfId="0" applyFont="1" applyFill="1" applyBorder="1"/>
    <xf numFmtId="0" fontId="3" fillId="5" borderId="14" xfId="0" applyFont="1" applyFill="1" applyBorder="1"/>
    <xf numFmtId="0" fontId="3" fillId="5" borderId="7" xfId="0" applyFont="1" applyFill="1" applyBorder="1"/>
    <xf numFmtId="0" fontId="3" fillId="5" borderId="15" xfId="0" applyFont="1" applyFill="1" applyBorder="1"/>
    <xf numFmtId="0" fontId="29" fillId="5" borderId="2" xfId="0" applyFont="1" applyFill="1" applyBorder="1"/>
    <xf numFmtId="9" fontId="4" fillId="0" borderId="0" xfId="0" applyNumberFormat="1" applyFont="1" applyAlignment="1">
      <alignment horizontal="center"/>
    </xf>
    <xf numFmtId="0" fontId="30" fillId="8" borderId="0" xfId="0" applyFont="1" applyFill="1"/>
    <xf numFmtId="9" fontId="0" fillId="4" borderId="1" xfId="0" applyNumberFormat="1" applyFill="1" applyBorder="1" applyAlignment="1" applyProtection="1">
      <alignment horizontal="right"/>
      <protection locked="0"/>
    </xf>
    <xf numFmtId="0" fontId="4" fillId="0" borderId="1" xfId="0" applyFont="1" applyBorder="1" applyAlignment="1">
      <alignment horizontal="center"/>
    </xf>
    <xf numFmtId="44" fontId="0" fillId="4" borderId="11" xfId="0" applyNumberFormat="1" applyFill="1" applyBorder="1" applyAlignment="1" applyProtection="1">
      <alignment horizontal="right"/>
      <protection locked="0"/>
    </xf>
    <xf numFmtId="1" fontId="0" fillId="4" borderId="9" xfId="0" applyNumberFormat="1" applyFill="1" applyBorder="1" applyAlignment="1" applyProtection="1">
      <alignment horizontal="center"/>
      <protection locked="0"/>
    </xf>
    <xf numFmtId="44" fontId="7" fillId="0" borderId="0" xfId="0" applyNumberFormat="1" applyFont="1"/>
    <xf numFmtId="2" fontId="0" fillId="4" borderId="1" xfId="0" applyNumberFormat="1" applyFill="1" applyBorder="1" applyAlignment="1" applyProtection="1">
      <alignment horizontal="right"/>
      <protection locked="0"/>
    </xf>
    <xf numFmtId="14" fontId="11" fillId="0" borderId="0" xfId="0" quotePrefix="1" applyNumberFormat="1" applyFont="1"/>
    <xf numFmtId="0" fontId="7" fillId="0" borderId="9" xfId="0" applyFont="1" applyBorder="1" applyAlignment="1">
      <alignment horizontal="left"/>
    </xf>
    <xf numFmtId="0" fontId="4" fillId="4" borderId="1" xfId="0" applyFont="1" applyFill="1" applyBorder="1" applyAlignment="1" applyProtection="1">
      <alignment horizontal="right"/>
      <protection locked="0"/>
    </xf>
    <xf numFmtId="166" fontId="0" fillId="4" borderId="1" xfId="0" applyNumberFormat="1" applyFill="1" applyBorder="1" applyProtection="1">
      <protection locked="0"/>
    </xf>
    <xf numFmtId="0" fontId="0" fillId="4" borderId="1" xfId="0" applyFill="1" applyBorder="1" applyAlignment="1" applyProtection="1">
      <alignment horizontal="right"/>
      <protection locked="0"/>
    </xf>
    <xf numFmtId="164" fontId="4" fillId="4" borderId="1" xfId="0" applyNumberFormat="1" applyFont="1" applyFill="1" applyBorder="1" applyProtection="1">
      <protection locked="0"/>
    </xf>
    <xf numFmtId="0" fontId="4" fillId="4" borderId="1" xfId="0" applyFont="1" applyFill="1" applyBorder="1" applyProtection="1">
      <protection locked="0"/>
    </xf>
    <xf numFmtId="0" fontId="7" fillId="4" borderId="1" xfId="0" applyFont="1" applyFill="1" applyBorder="1" applyProtection="1">
      <protection locked="0"/>
    </xf>
    <xf numFmtId="164" fontId="0" fillId="4" borderId="1" xfId="0" applyNumberFormat="1" applyFill="1" applyBorder="1" applyProtection="1">
      <protection locked="0"/>
    </xf>
    <xf numFmtId="2" fontId="0" fillId="4" borderId="1" xfId="0" applyNumberFormat="1" applyFill="1" applyBorder="1" applyProtection="1">
      <protection locked="0"/>
    </xf>
    <xf numFmtId="0" fontId="4" fillId="4" borderId="1" xfId="0" applyFont="1" applyFill="1" applyBorder="1" applyAlignment="1" applyProtection="1">
      <alignment horizontal="center"/>
      <protection locked="0"/>
    </xf>
    <xf numFmtId="14" fontId="4" fillId="4" borderId="1" xfId="0" applyNumberFormat="1" applyFont="1" applyFill="1" applyBorder="1" applyAlignment="1" applyProtection="1">
      <alignment horizontal="right"/>
      <protection locked="0"/>
    </xf>
    <xf numFmtId="14" fontId="4" fillId="4" borderId="11" xfId="0" applyNumberFormat="1" applyFont="1" applyFill="1" applyBorder="1" applyAlignment="1" applyProtection="1">
      <alignment horizontal="right"/>
      <protection locked="0"/>
    </xf>
    <xf numFmtId="44" fontId="0" fillId="4" borderId="1" xfId="2" applyFont="1" applyFill="1" applyBorder="1" applyAlignment="1" applyProtection="1">
      <alignment horizontal="right"/>
      <protection locked="0"/>
    </xf>
    <xf numFmtId="0" fontId="0" fillId="4" borderId="1" xfId="0" applyFill="1" applyBorder="1" applyAlignment="1" applyProtection="1">
      <alignment horizontal="center"/>
      <protection locked="0"/>
    </xf>
    <xf numFmtId="3" fontId="0" fillId="4" borderId="1" xfId="0" applyNumberFormat="1" applyFill="1" applyBorder="1" applyAlignment="1" applyProtection="1">
      <alignment horizontal="center"/>
      <protection locked="0"/>
    </xf>
    <xf numFmtId="2" fontId="4" fillId="4" borderId="1" xfId="0" applyNumberFormat="1" applyFont="1" applyFill="1" applyBorder="1" applyAlignment="1" applyProtection="1">
      <alignment horizontal="right"/>
      <protection locked="0"/>
    </xf>
    <xf numFmtId="2" fontId="0" fillId="4" borderId="1" xfId="0" applyNumberFormat="1" applyFill="1" applyBorder="1" applyAlignment="1" applyProtection="1">
      <alignment horizontal="center"/>
      <protection locked="0"/>
    </xf>
    <xf numFmtId="9" fontId="4" fillId="4" borderId="1" xfId="0" applyNumberFormat="1" applyFont="1" applyFill="1" applyBorder="1" applyAlignment="1" applyProtection="1">
      <alignment horizontal="center"/>
      <protection locked="0"/>
    </xf>
    <xf numFmtId="165" fontId="0" fillId="4" borderId="11" xfId="0" applyNumberFormat="1" applyFill="1" applyBorder="1" applyAlignment="1" applyProtection="1">
      <alignment horizontal="center"/>
      <protection locked="0"/>
    </xf>
    <xf numFmtId="44" fontId="4" fillId="4" borderId="1" xfId="0" applyNumberFormat="1" applyFont="1" applyFill="1" applyBorder="1" applyAlignment="1" applyProtection="1">
      <alignment horizontal="right"/>
      <protection locked="0"/>
    </xf>
    <xf numFmtId="10" fontId="4" fillId="4" borderId="1" xfId="0" applyNumberFormat="1" applyFont="1" applyFill="1" applyBorder="1" applyAlignment="1" applyProtection="1">
      <alignment horizontal="center"/>
      <protection locked="0"/>
    </xf>
    <xf numFmtId="1" fontId="7" fillId="0" borderId="0" xfId="0" applyNumberFormat="1" applyFont="1" applyAlignment="1">
      <alignment horizontal="center"/>
    </xf>
    <xf numFmtId="49" fontId="0" fillId="4" borderId="1" xfId="0" applyNumberFormat="1" applyFill="1" applyBorder="1" applyAlignment="1" applyProtection="1">
      <alignment horizontal="right"/>
      <protection locked="0"/>
    </xf>
    <xf numFmtId="0" fontId="0" fillId="4" borderId="11" xfId="0" applyFill="1" applyBorder="1" applyAlignment="1" applyProtection="1">
      <alignment horizontal="right"/>
      <protection locked="0"/>
    </xf>
    <xf numFmtId="14" fontId="0" fillId="0" borderId="0" xfId="0" applyNumberFormat="1" applyAlignment="1">
      <alignment horizontal="right"/>
    </xf>
    <xf numFmtId="2" fontId="7" fillId="0" borderId="0" xfId="0" applyNumberFormat="1" applyFont="1" applyAlignment="1">
      <alignment horizontal="center" vertical="center"/>
    </xf>
    <xf numFmtId="0" fontId="7" fillId="0" borderId="1" xfId="0" applyFont="1" applyBorder="1" applyAlignment="1" applyProtection="1">
      <alignment horizontal="center"/>
      <protection locked="0"/>
    </xf>
    <xf numFmtId="1" fontId="7" fillId="0" borderId="0" xfId="0" applyNumberFormat="1" applyFont="1" applyAlignment="1" applyProtection="1">
      <alignment horizontal="center"/>
      <protection locked="0"/>
    </xf>
    <xf numFmtId="2" fontId="7" fillId="0" borderId="0" xfId="0" applyNumberFormat="1" applyFont="1" applyAlignment="1" applyProtection="1">
      <alignment horizontal="center"/>
      <protection locked="0"/>
    </xf>
    <xf numFmtId="44" fontId="7" fillId="0" borderId="0" xfId="0" applyNumberFormat="1" applyFont="1" applyAlignment="1">
      <alignment horizontal="center"/>
    </xf>
    <xf numFmtId="0" fontId="7" fillId="0" borderId="7" xfId="0" applyFont="1" applyBorder="1" applyAlignment="1">
      <alignment horizontal="center"/>
    </xf>
    <xf numFmtId="2" fontId="7" fillId="0" borderId="0" xfId="0" applyNumberFormat="1" applyFont="1" applyAlignment="1" applyProtection="1">
      <alignment horizontal="right"/>
      <protection locked="0"/>
    </xf>
    <xf numFmtId="0" fontId="4" fillId="4" borderId="11" xfId="0" applyFont="1" applyFill="1" applyBorder="1" applyAlignment="1" applyProtection="1">
      <alignment horizontal="right"/>
      <protection locked="0"/>
    </xf>
    <xf numFmtId="10" fontId="0" fillId="4" borderId="1" xfId="0" applyNumberFormat="1" applyFill="1" applyBorder="1" applyAlignment="1" applyProtection="1">
      <alignment horizontal="center"/>
      <protection locked="0"/>
    </xf>
    <xf numFmtId="44" fontId="0" fillId="0" borderId="0" xfId="0" applyNumberFormat="1" applyProtection="1">
      <protection locked="0"/>
    </xf>
    <xf numFmtId="44" fontId="0" fillId="0" borderId="0" xfId="0" applyNumberFormat="1"/>
    <xf numFmtId="44" fontId="7" fillId="0" borderId="0" xfId="0" applyNumberFormat="1" applyFont="1" applyAlignment="1" applyProtection="1">
      <alignment horizontal="center"/>
      <protection locked="0"/>
    </xf>
    <xf numFmtId="2" fontId="7" fillId="0" borderId="7" xfId="0" applyNumberFormat="1" applyFont="1" applyBorder="1" applyAlignment="1" applyProtection="1">
      <alignment horizontal="center"/>
      <protection locked="0"/>
    </xf>
    <xf numFmtId="0" fontId="7" fillId="0" borderId="1" xfId="0" applyFont="1" applyBorder="1" applyAlignment="1">
      <alignment horizontal="center"/>
    </xf>
    <xf numFmtId="1" fontId="7" fillId="0" borderId="1" xfId="0" applyNumberFormat="1" applyFont="1" applyBorder="1" applyAlignment="1" applyProtection="1">
      <alignment horizontal="center"/>
      <protection locked="0"/>
    </xf>
    <xf numFmtId="44" fontId="7" fillId="0" borderId="11" xfId="0" applyNumberFormat="1" applyFont="1" applyBorder="1"/>
    <xf numFmtId="0" fontId="4" fillId="4" borderId="9" xfId="0" applyFont="1" applyFill="1" applyBorder="1" applyAlignment="1" applyProtection="1">
      <alignment horizontal="right"/>
      <protection locked="0"/>
    </xf>
    <xf numFmtId="44" fontId="0" fillId="4" borderId="14" xfId="0" applyNumberFormat="1" applyFill="1" applyBorder="1" applyAlignment="1" applyProtection="1">
      <alignment horizontal="right"/>
      <protection locked="0"/>
    </xf>
    <xf numFmtId="44" fontId="0" fillId="9" borderId="1" xfId="0" applyNumberFormat="1" applyFill="1" applyBorder="1"/>
    <xf numFmtId="2" fontId="0" fillId="9" borderId="1" xfId="0" applyNumberFormat="1" applyFill="1" applyBorder="1" applyAlignment="1">
      <alignment horizontal="center"/>
    </xf>
    <xf numFmtId="44" fontId="7" fillId="9" borderId="1" xfId="0" applyNumberFormat="1" applyFont="1" applyFill="1" applyBorder="1"/>
    <xf numFmtId="44" fontId="0" fillId="9" borderId="1" xfId="0" applyNumberFormat="1" applyFill="1" applyBorder="1" applyAlignment="1">
      <alignment horizontal="right" vertical="center"/>
    </xf>
    <xf numFmtId="44" fontId="0" fillId="9" borderId="1" xfId="0" applyNumberFormat="1" applyFill="1" applyBorder="1" applyAlignment="1">
      <alignment horizontal="right"/>
    </xf>
    <xf numFmtId="44" fontId="0" fillId="9" borderId="11" xfId="0" applyNumberFormat="1" applyFill="1" applyBorder="1" applyAlignment="1">
      <alignment horizontal="right"/>
    </xf>
    <xf numFmtId="44" fontId="0" fillId="9" borderId="1" xfId="2" applyFont="1" applyFill="1" applyBorder="1" applyAlignment="1" applyProtection="1">
      <alignment horizontal="right"/>
    </xf>
    <xf numFmtId="44" fontId="0" fillId="9" borderId="11" xfId="0" applyNumberFormat="1" applyFill="1" applyBorder="1" applyAlignment="1">
      <alignment horizontal="center"/>
    </xf>
    <xf numFmtId="44" fontId="7" fillId="9" borderId="1" xfId="0" applyNumberFormat="1" applyFont="1" applyFill="1" applyBorder="1" applyAlignment="1">
      <alignment horizontal="center"/>
    </xf>
    <xf numFmtId="44" fontId="7" fillId="9" borderId="1" xfId="0" applyNumberFormat="1" applyFont="1" applyFill="1" applyBorder="1" applyAlignment="1">
      <alignment horizontal="right"/>
    </xf>
    <xf numFmtId="2" fontId="0" fillId="9" borderId="1" xfId="0" applyNumberFormat="1" applyFill="1" applyBorder="1" applyAlignment="1">
      <alignment horizontal="right"/>
    </xf>
    <xf numFmtId="44" fontId="7" fillId="9" borderId="1" xfId="0" applyNumberFormat="1" applyFont="1" applyFill="1" applyBorder="1" applyAlignment="1">
      <alignment horizontal="right" vertical="center"/>
    </xf>
    <xf numFmtId="0" fontId="0" fillId="10" borderId="10" xfId="0" applyFill="1" applyBorder="1" applyAlignment="1">
      <alignment horizontal="center"/>
    </xf>
    <xf numFmtId="164" fontId="0" fillId="10" borderId="1" xfId="0" applyNumberFormat="1" applyFill="1" applyBorder="1" applyAlignment="1">
      <alignment horizontal="center"/>
    </xf>
    <xf numFmtId="0" fontId="0" fillId="10" borderId="1" xfId="0" quotePrefix="1" applyFill="1" applyBorder="1" applyAlignment="1">
      <alignment horizontal="center"/>
    </xf>
    <xf numFmtId="0" fontId="0" fillId="10" borderId="1" xfId="0" applyFill="1" applyBorder="1" applyAlignment="1">
      <alignment horizontal="center"/>
    </xf>
    <xf numFmtId="0" fontId="7" fillId="10" borderId="2" xfId="0" applyFont="1" applyFill="1" applyBorder="1" applyAlignment="1">
      <alignment horizontal="center"/>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0" borderId="14" xfId="0" applyFont="1" applyBorder="1" applyAlignment="1">
      <alignment horizontal="left"/>
    </xf>
    <xf numFmtId="0" fontId="4" fillId="4" borderId="9" xfId="0" applyFont="1" applyFill="1" applyBorder="1" applyAlignment="1" applyProtection="1">
      <alignment horizontal="center"/>
      <protection locked="0"/>
    </xf>
    <xf numFmtId="2" fontId="0" fillId="4" borderId="14" xfId="0" applyNumberFormat="1" applyFill="1" applyBorder="1" applyAlignment="1" applyProtection="1">
      <alignment horizontal="right"/>
      <protection locked="0"/>
    </xf>
    <xf numFmtId="44" fontId="0" fillId="9" borderId="9" xfId="0" applyNumberFormat="1" applyFill="1" applyBorder="1" applyAlignment="1">
      <alignment horizontal="right"/>
    </xf>
    <xf numFmtId="1" fontId="7" fillId="0" borderId="7" xfId="0" applyNumberFormat="1" applyFont="1" applyBorder="1" applyAlignment="1" applyProtection="1">
      <alignment horizontal="center"/>
      <protection locked="0"/>
    </xf>
    <xf numFmtId="44" fontId="7" fillId="0" borderId="7" xfId="0" applyNumberFormat="1" applyFont="1" applyBorder="1" applyAlignment="1">
      <alignment horizontal="center"/>
    </xf>
    <xf numFmtId="0" fontId="4" fillId="4" borderId="2" xfId="0" applyFont="1" applyFill="1" applyBorder="1" applyAlignment="1" applyProtection="1">
      <alignment horizontal="right"/>
      <protection locked="0"/>
    </xf>
    <xf numFmtId="0" fontId="4" fillId="0" borderId="12" xfId="0" applyFont="1" applyBorder="1" applyAlignment="1">
      <alignment horizontal="center"/>
    </xf>
    <xf numFmtId="4" fontId="0" fillId="9" borderId="1" xfId="0" applyNumberFormat="1" applyFill="1" applyBorder="1"/>
    <xf numFmtId="164" fontId="0" fillId="9" borderId="1" xfId="0" applyNumberFormat="1" applyFill="1" applyBorder="1"/>
    <xf numFmtId="0" fontId="0" fillId="9" borderId="1" xfId="0" applyFill="1" applyBorder="1"/>
    <xf numFmtId="1" fontId="0" fillId="9" borderId="1" xfId="0" applyNumberFormat="1" applyFill="1" applyBorder="1"/>
    <xf numFmtId="4" fontId="0" fillId="9" borderId="1" xfId="0" applyNumberFormat="1" applyFill="1" applyBorder="1" applyAlignment="1">
      <alignment horizontal="right"/>
    </xf>
    <xf numFmtId="1" fontId="0" fillId="9" borderId="1" xfId="0" applyNumberFormat="1" applyFill="1" applyBorder="1" applyAlignment="1" applyProtection="1">
      <alignment horizontal="center"/>
      <protection locked="0"/>
    </xf>
    <xf numFmtId="44" fontId="4" fillId="9" borderId="1" xfId="0" applyNumberFormat="1" applyFont="1" applyFill="1" applyBorder="1" applyAlignment="1">
      <alignment horizontal="center"/>
    </xf>
    <xf numFmtId="9" fontId="0" fillId="4" borderId="1" xfId="0" applyNumberFormat="1" applyFill="1" applyBorder="1" applyAlignment="1" applyProtection="1">
      <alignment horizontal="center"/>
      <protection locked="0"/>
    </xf>
    <xf numFmtId="0" fontId="0" fillId="11" borderId="10" xfId="0" applyFill="1" applyBorder="1" applyAlignment="1">
      <alignment horizontal="center"/>
    </xf>
    <xf numFmtId="164" fontId="0" fillId="11" borderId="1" xfId="0" applyNumberFormat="1" applyFill="1" applyBorder="1" applyAlignment="1">
      <alignment horizontal="center"/>
    </xf>
    <xf numFmtId="0" fontId="0" fillId="11" borderId="1" xfId="0" quotePrefix="1" applyFill="1" applyBorder="1" applyAlignment="1">
      <alignment horizontal="center"/>
    </xf>
    <xf numFmtId="0" fontId="0" fillId="11" borderId="1" xfId="0" applyFill="1" applyBorder="1" applyAlignment="1">
      <alignment horizontal="center"/>
    </xf>
    <xf numFmtId="0" fontId="7" fillId="11" borderId="2" xfId="0" applyFont="1" applyFill="1" applyBorder="1" applyAlignment="1">
      <alignment horizontal="center"/>
    </xf>
    <xf numFmtId="0" fontId="7" fillId="0" borderId="0" xfId="0" applyFont="1" applyAlignment="1" applyProtection="1">
      <alignment horizontal="center"/>
      <protection locked="0"/>
    </xf>
    <xf numFmtId="44" fontId="0" fillId="9" borderId="11" xfId="0" applyNumberFormat="1" applyFill="1" applyBorder="1"/>
    <xf numFmtId="2" fontId="7" fillId="0" borderId="7" xfId="0" applyNumberFormat="1" applyFont="1" applyBorder="1" applyAlignment="1">
      <alignment horizontal="center"/>
    </xf>
    <xf numFmtId="1" fontId="7" fillId="0" borderId="8" xfId="0" applyNumberFormat="1" applyFont="1" applyBorder="1" applyAlignment="1" applyProtection="1">
      <alignment horizontal="center"/>
      <protection locked="0"/>
    </xf>
    <xf numFmtId="2" fontId="7" fillId="0" borderId="8" xfId="0" applyNumberFormat="1" applyFont="1" applyBorder="1" applyAlignment="1" applyProtection="1">
      <alignment horizontal="center"/>
      <protection locked="0"/>
    </xf>
    <xf numFmtId="2" fontId="7" fillId="0" borderId="8" xfId="0" applyNumberFormat="1" applyFont="1" applyBorder="1" applyAlignment="1">
      <alignment horizontal="center"/>
    </xf>
    <xf numFmtId="2" fontId="7" fillId="0" borderId="7" xfId="0" applyNumberFormat="1" applyFont="1" applyBorder="1" applyAlignment="1">
      <alignment horizontal="left"/>
    </xf>
    <xf numFmtId="2" fontId="0" fillId="0" borderId="7" xfId="0" applyNumberFormat="1" applyBorder="1" applyAlignment="1">
      <alignment horizontal="center"/>
    </xf>
    <xf numFmtId="1" fontId="0" fillId="0" borderId="7" xfId="0" applyNumberFormat="1" applyBorder="1" applyAlignment="1">
      <alignment horizontal="center"/>
    </xf>
    <xf numFmtId="2" fontId="0" fillId="0" borderId="15" xfId="0" applyNumberFormat="1" applyBorder="1" applyAlignment="1">
      <alignment horizontal="right"/>
    </xf>
    <xf numFmtId="2" fontId="0" fillId="0" borderId="15" xfId="0" applyNumberFormat="1" applyBorder="1" applyAlignment="1">
      <alignment horizontal="center"/>
    </xf>
    <xf numFmtId="2" fontId="0" fillId="0" borderId="9" xfId="0" applyNumberFormat="1" applyBorder="1" applyAlignment="1">
      <alignment horizontal="center"/>
    </xf>
    <xf numFmtId="1" fontId="0" fillId="0" borderId="7" xfId="0" applyNumberFormat="1" applyBorder="1" applyAlignment="1" applyProtection="1">
      <alignment horizontal="center"/>
      <protection locked="0"/>
    </xf>
    <xf numFmtId="2" fontId="0" fillId="0" borderId="15" xfId="0" applyNumberFormat="1" applyBorder="1" applyAlignment="1" applyProtection="1">
      <alignment horizontal="right"/>
      <protection locked="0"/>
    </xf>
    <xf numFmtId="0" fontId="4" fillId="0" borderId="9" xfId="0" applyFont="1" applyBorder="1" applyAlignment="1">
      <alignment horizontal="center"/>
    </xf>
    <xf numFmtId="0" fontId="7" fillId="0" borderId="2" xfId="0" applyFont="1" applyBorder="1" applyAlignment="1">
      <alignment horizontal="left"/>
    </xf>
    <xf numFmtId="44" fontId="0" fillId="0" borderId="15" xfId="0" applyNumberFormat="1" applyBorder="1" applyAlignment="1" applyProtection="1">
      <alignment horizontal="right"/>
      <protection locked="0"/>
    </xf>
    <xf numFmtId="44" fontId="7" fillId="9" borderId="9" xfId="0" applyNumberFormat="1" applyFont="1" applyFill="1" applyBorder="1" applyAlignment="1">
      <alignment horizontal="right"/>
    </xf>
    <xf numFmtId="165" fontId="0" fillId="9" borderId="1" xfId="0" applyNumberFormat="1" applyFill="1" applyBorder="1" applyAlignment="1">
      <alignment horizontal="center"/>
    </xf>
    <xf numFmtId="44" fontId="4" fillId="0" borderId="1" xfId="0" applyNumberFormat="1" applyFont="1" applyBorder="1" applyAlignment="1" applyProtection="1">
      <alignment horizontal="center"/>
      <protection locked="0"/>
    </xf>
    <xf numFmtId="0" fontId="7" fillId="0" borderId="7" xfId="0" applyFont="1" applyBorder="1" applyAlignment="1">
      <alignment horizontal="left"/>
    </xf>
    <xf numFmtId="0" fontId="7" fillId="0" borderId="8" xfId="0" applyFont="1" applyBorder="1" applyAlignment="1">
      <alignment horizontal="left"/>
    </xf>
    <xf numFmtId="0" fontId="4" fillId="0" borderId="8" xfId="0" applyFont="1" applyBorder="1" applyAlignment="1">
      <alignment horizontal="center"/>
    </xf>
    <xf numFmtId="1" fontId="0" fillId="0" borderId="8" xfId="0" applyNumberFormat="1" applyBorder="1" applyAlignment="1" applyProtection="1">
      <alignment horizontal="center"/>
      <protection locked="0"/>
    </xf>
    <xf numFmtId="44" fontId="0" fillId="0" borderId="10" xfId="0" applyNumberFormat="1" applyBorder="1" applyAlignment="1" applyProtection="1">
      <alignment horizontal="right"/>
      <protection locked="0"/>
    </xf>
    <xf numFmtId="0" fontId="31" fillId="0" borderId="0" xfId="0" applyFont="1" applyAlignment="1">
      <alignment vertical="center"/>
    </xf>
    <xf numFmtId="14" fontId="4" fillId="0" borderId="0" xfId="0" quotePrefix="1" applyNumberFormat="1" applyFont="1"/>
    <xf numFmtId="44" fontId="0" fillId="0" borderId="11" xfId="0" applyNumberFormat="1" applyBorder="1"/>
    <xf numFmtId="0" fontId="4" fillId="0" borderId="1" xfId="0" applyFont="1" applyBorder="1" applyProtection="1">
      <protection locked="0"/>
    </xf>
    <xf numFmtId="0" fontId="7" fillId="0" borderId="14" xfId="0" applyFont="1" applyBorder="1" applyAlignment="1">
      <alignment horizontal="center"/>
    </xf>
    <xf numFmtId="0" fontId="2" fillId="5" borderId="8" xfId="0" applyFont="1" applyFill="1" applyBorder="1"/>
    <xf numFmtId="0" fontId="2" fillId="5" borderId="6" xfId="0" applyFont="1" applyFill="1" applyBorder="1"/>
    <xf numFmtId="0" fontId="2" fillId="5" borderId="4" xfId="0" applyFont="1" applyFill="1" applyBorder="1"/>
    <xf numFmtId="44" fontId="7" fillId="0" borderId="0" xfId="0" applyNumberFormat="1" applyFont="1" applyAlignment="1" applyProtection="1">
      <alignment horizontal="right"/>
      <protection locked="0"/>
    </xf>
    <xf numFmtId="0" fontId="2" fillId="5" borderId="0" xfId="0" applyFont="1" applyFill="1"/>
    <xf numFmtId="0" fontId="2" fillId="5" borderId="5" xfId="0" applyFont="1" applyFill="1" applyBorder="1"/>
    <xf numFmtId="0" fontId="2" fillId="5" borderId="13" xfId="0" applyFont="1" applyFill="1" applyBorder="1"/>
    <xf numFmtId="0" fontId="2" fillId="5" borderId="14" xfId="0" applyFont="1" applyFill="1" applyBorder="1"/>
    <xf numFmtId="0" fontId="2" fillId="5" borderId="7" xfId="0" applyFont="1" applyFill="1" applyBorder="1"/>
    <xf numFmtId="0" fontId="2" fillId="5" borderId="15" xfId="0" applyFont="1" applyFill="1" applyBorder="1"/>
    <xf numFmtId="9" fontId="0" fillId="4" borderId="1" xfId="0" applyNumberFormat="1" applyFill="1" applyBorder="1" applyProtection="1">
      <protection locked="0"/>
    </xf>
    <xf numFmtId="0" fontId="32" fillId="0" borderId="0" xfId="0" applyFont="1" applyAlignment="1">
      <alignment vertical="center"/>
    </xf>
    <xf numFmtId="0" fontId="5" fillId="0" borderId="0" xfId="1" applyAlignment="1" applyProtection="1">
      <alignment vertical="center"/>
    </xf>
    <xf numFmtId="44" fontId="0" fillId="9" borderId="1" xfId="0" applyNumberFormat="1" applyFill="1" applyBorder="1" applyAlignment="1">
      <alignment horizontal="center"/>
    </xf>
    <xf numFmtId="165" fontId="7" fillId="0" borderId="6" xfId="0" applyNumberFormat="1" applyFont="1" applyBorder="1" applyAlignment="1" applyProtection="1">
      <alignment horizontal="center"/>
      <protection locked="0"/>
    </xf>
    <xf numFmtId="44" fontId="7" fillId="0" borderId="6" xfId="0" applyNumberFormat="1" applyFont="1" applyBorder="1" applyAlignment="1" applyProtection="1">
      <alignment horizontal="center"/>
      <protection locked="0"/>
    </xf>
    <xf numFmtId="44" fontId="0" fillId="0" borderId="0" xfId="0" applyNumberFormat="1" applyAlignment="1" applyProtection="1">
      <alignment horizontal="center"/>
      <protection locked="0"/>
    </xf>
    <xf numFmtId="165" fontId="7" fillId="0" borderId="0" xfId="0" applyNumberFormat="1" applyFont="1" applyAlignment="1" applyProtection="1">
      <alignment horizontal="center"/>
      <protection locked="0"/>
    </xf>
    <xf numFmtId="2" fontId="0" fillId="12" borderId="10" xfId="0" applyNumberFormat="1" applyFill="1" applyBorder="1" applyAlignment="1" applyProtection="1">
      <alignment horizontal="center"/>
      <protection locked="0"/>
    </xf>
    <xf numFmtId="10" fontId="0" fillId="4" borderId="1" xfId="0" applyNumberFormat="1" applyFill="1" applyBorder="1" applyProtection="1">
      <protection locked="0"/>
    </xf>
    <xf numFmtId="0" fontId="33" fillId="5" borderId="5" xfId="0" applyFont="1" applyFill="1" applyBorder="1"/>
    <xf numFmtId="0" fontId="1" fillId="5" borderId="0" xfId="0" applyFont="1" applyFill="1"/>
    <xf numFmtId="0" fontId="33" fillId="5" borderId="6" xfId="0" applyFont="1" applyFill="1" applyBorder="1"/>
    <xf numFmtId="0" fontId="33" fillId="5" borderId="4" xfId="0" applyFont="1" applyFill="1" applyBorder="1"/>
    <xf numFmtId="0" fontId="1" fillId="5" borderId="5" xfId="0" applyFont="1" applyFill="1" applyBorder="1"/>
    <xf numFmtId="0" fontId="0" fillId="5" borderId="0" xfId="0" applyFill="1"/>
    <xf numFmtId="0" fontId="0" fillId="5" borderId="7" xfId="0" applyFill="1" applyBorder="1"/>
    <xf numFmtId="0" fontId="0" fillId="5" borderId="13" xfId="0" applyFill="1" applyBorder="1"/>
    <xf numFmtId="0" fontId="0" fillId="5" borderId="15" xfId="0" applyFill="1" applyBorder="1"/>
    <xf numFmtId="0" fontId="1" fillId="5" borderId="14" xfId="0" applyFont="1" applyFill="1" applyBorder="1"/>
    <xf numFmtId="0" fontId="1" fillId="0" borderId="0" xfId="0" applyFont="1"/>
    <xf numFmtId="0" fontId="1" fillId="0" borderId="2" xfId="0" applyFont="1" applyBorder="1"/>
    <xf numFmtId="0" fontId="34" fillId="0" borderId="0" xfId="0" applyFont="1" applyAlignment="1">
      <alignment vertical="center"/>
    </xf>
    <xf numFmtId="14" fontId="0" fillId="0" borderId="0" xfId="0" applyNumberFormat="1"/>
    <xf numFmtId="0" fontId="22" fillId="12" borderId="2" xfId="0" applyFont="1" applyFill="1" applyBorder="1" applyProtection="1">
      <protection locked="0"/>
    </xf>
    <xf numFmtId="2" fontId="0" fillId="2" borderId="2" xfId="0" applyNumberFormat="1" applyFill="1" applyBorder="1" applyAlignment="1">
      <alignment horizontal="center"/>
    </xf>
    <xf numFmtId="167" fontId="0" fillId="3" borderId="1" xfId="0" applyNumberFormat="1" applyFill="1" applyBorder="1" applyAlignment="1">
      <alignment horizontal="center"/>
    </xf>
    <xf numFmtId="167" fontId="7" fillId="3" borderId="1" xfId="0" applyNumberFormat="1" applyFont="1" applyFill="1" applyBorder="1" applyAlignment="1">
      <alignment horizontal="center"/>
    </xf>
    <xf numFmtId="165" fontId="0" fillId="2" borderId="2" xfId="0" applyNumberFormat="1" applyFill="1" applyBorder="1" applyAlignment="1">
      <alignment horizontal="center"/>
    </xf>
    <xf numFmtId="8" fontId="0" fillId="4" borderId="1" xfId="0" applyNumberFormat="1" applyFill="1" applyBorder="1" applyAlignment="1" applyProtection="1">
      <alignment horizontal="right"/>
      <protection locked="0"/>
    </xf>
    <xf numFmtId="6" fontId="0" fillId="4" borderId="1" xfId="0" applyNumberFormat="1" applyFill="1" applyBorder="1" applyAlignment="1" applyProtection="1">
      <alignment horizontal="right"/>
      <protection locked="0"/>
    </xf>
    <xf numFmtId="0" fontId="22" fillId="4" borderId="2" xfId="0" applyFont="1" applyFill="1" applyBorder="1" applyProtection="1">
      <protection locked="0"/>
    </xf>
    <xf numFmtId="2" fontId="0" fillId="4" borderId="10" xfId="0" applyNumberFormat="1" applyFill="1" applyBorder="1" applyAlignment="1" applyProtection="1">
      <alignment horizontal="center"/>
      <protection locked="0"/>
    </xf>
    <xf numFmtId="0" fontId="22" fillId="12" borderId="2" xfId="0" quotePrefix="1" applyFont="1" applyFill="1" applyBorder="1" applyProtection="1">
      <protection locked="0"/>
    </xf>
    <xf numFmtId="0" fontId="7" fillId="3" borderId="2" xfId="0" applyFont="1" applyFill="1" applyBorder="1" applyAlignment="1">
      <alignment horizontal="center"/>
    </xf>
    <xf numFmtId="0" fontId="7" fillId="3" borderId="8" xfId="0" applyFont="1" applyFill="1" applyBorder="1" applyAlignment="1">
      <alignment horizontal="center"/>
    </xf>
    <xf numFmtId="0" fontId="7" fillId="3" borderId="10" xfId="0" applyFont="1" applyFill="1" applyBorder="1" applyAlignment="1">
      <alignment horizontal="center"/>
    </xf>
    <xf numFmtId="0" fontId="7" fillId="2" borderId="2" xfId="0" applyFont="1" applyFill="1" applyBorder="1" applyAlignment="1">
      <alignment horizontal="center"/>
    </xf>
    <xf numFmtId="0" fontId="7" fillId="2" borderId="10" xfId="0" applyFont="1" applyFill="1" applyBorder="1" applyAlignment="1">
      <alignment horizontal="center"/>
    </xf>
  </cellXfs>
  <cellStyles count="3">
    <cellStyle name="Currency" xfId="2" builtinId="4"/>
    <cellStyle name="Hyperlink" xfId="1" builtinId="8"/>
    <cellStyle name="Normal" xfId="0" builtinId="0"/>
  </cellStyles>
  <dxfs count="0"/>
  <tableStyles count="0" defaultTableStyle="TableStyleMedium2" defaultPivotStyle="PivotStyleLight16"/>
  <colors>
    <mruColors>
      <color rgb="FFF0F090"/>
      <color rgb="FF99CCFF"/>
      <color rgb="FFFFCCFF"/>
      <color rgb="FFFF99FF"/>
      <color rgb="FFFF66CC"/>
      <color rgb="FFFF3399"/>
      <color rgb="FFE1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3152775</xdr:colOff>
      <xdr:row>1</xdr:row>
      <xdr:rowOff>9525</xdr:rowOff>
    </xdr:from>
    <xdr:to>
      <xdr:col>0</xdr:col>
      <xdr:colOff>3714750</xdr:colOff>
      <xdr:row>1</xdr:row>
      <xdr:rowOff>209550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152775" y="342900"/>
          <a:ext cx="561975" cy="200025"/>
        </a:xfrm>
        <a:prstGeom prst="rect">
          <a:avLst/>
        </a:prstGeom>
        <a:solidFill>
          <a:schemeClr val="accent5">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3162300</xdr:colOff>
      <xdr:row>2</xdr:row>
      <xdr:rowOff>9525</xdr:rowOff>
    </xdr:from>
    <xdr:to>
      <xdr:col>0</xdr:col>
      <xdr:colOff>3724275</xdr:colOff>
      <xdr:row>3</xdr:row>
      <xdr:rowOff>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162300" y="561975"/>
          <a:ext cx="561975" cy="209550"/>
        </a:xfrm>
        <a:prstGeom prst="rect">
          <a:avLst/>
        </a:prstGeom>
        <a:solidFill>
          <a:schemeClr val="accent6">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effectLst/>
              <a:latin typeface="Arial"/>
            </a:rPr>
            <a:t>  </a:t>
          </a:r>
          <a:r>
            <a:rPr lang="en-US"/>
            <a:t>  </a:t>
          </a:r>
          <a:endParaRPr lang="en-US" sz="1100"/>
        </a:p>
      </xdr:txBody>
    </xdr:sp>
    <xdr:clientData/>
  </xdr:twoCellAnchor>
  <xdr:twoCellAnchor editAs="oneCell">
    <xdr:from>
      <xdr:col>7</xdr:col>
      <xdr:colOff>424295</xdr:colOff>
      <xdr:row>0</xdr:row>
      <xdr:rowOff>0</xdr:rowOff>
    </xdr:from>
    <xdr:to>
      <xdr:col>16</xdr:col>
      <xdr:colOff>334240</xdr:colOff>
      <xdr:row>3</xdr:row>
      <xdr:rowOff>15537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1931" y="0"/>
          <a:ext cx="5105400" cy="786196"/>
        </a:xfrm>
        <a:prstGeom prst="rect">
          <a:avLst/>
        </a:prstGeom>
      </xdr:spPr>
    </xdr:pic>
    <xdr:clientData/>
  </xdr:twoCellAnchor>
  <xdr:twoCellAnchor>
    <xdr:from>
      <xdr:col>0</xdr:col>
      <xdr:colOff>69850</xdr:colOff>
      <xdr:row>3</xdr:row>
      <xdr:rowOff>146050</xdr:rowOff>
    </xdr:from>
    <xdr:to>
      <xdr:col>13</xdr:col>
      <xdr:colOff>242455</xdr:colOff>
      <xdr:row>30</xdr:row>
      <xdr:rowOff>8659</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9850" y="916709"/>
          <a:ext cx="7827241" cy="4902200"/>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UW Extension Crop Enterprise Budget Spreadsheet tool is a set of ten different sheets.  See the tabs along the bottom of the Excel window.  The first sheet is a Fertilizer Cost Calculator that helps users calculate fertilizer costs on a per pound of nutrient basis and costs for fertilizer additives like nitrification and urease inhibitors on a per acre basis.  The remaining nine sheets are example budgets for commonly grown crops in Wisconsin.  They include corn, corn silage, soybeans, small grains, seeding year haylage, established crop haylage, seeding year dry hay, established hay, and annual forage crops.</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budget sheets are set up to be reasonably intuitive and do many of the calculations for the user to minimize the need for a calculator, pad of paper and pencil during their use. There are yellow boxes with directions and helpful hints along the right side of each enterprise budget to assist users enter in their data.</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Users will find the inputs in several sections the same across the different crop example sheets for familiarity even though some types of inputs will not be used for some of the crops.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There are multiple lines for several pest control applications because some years may require additional passes depending on pest pressure. Be sure you are scouting the crops and using IPM determined thresholds to determine if applications are necessary.  When using these to project costs, include your average number of applications from past years.</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field operations (machinery) section is set up to include all costs associated with an operation in one line rather than break out depreciation, repairs, fuel, operator etc. into individual costs.  There are several resources listed in the help box by that section to assist users with determining those costs.</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budgets are set up to provide a reasonable amount of flexibility.  Specifically in the forage budgets, different harvest costs may be entered on a per acre, per hour, per bale or per ton cost basis.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It is necessary to use careful consideration to accurately account for the harvest costs without missing or double counting expenses by unintentionally entering the cost in more than one place.  Some operations may be used on some cuttings, but not all cuttings.  For example, in a 3-cutting example, two of the cuttings may be chopped and a third cutting made into big bale silage.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When entering it will be necessary to provide a reasonable estimate on the number of bales per acre per year and number of tons per acre per year because multiple harvesting methods could be used, such as in the example given earlier in this paragraph.</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Examples for each crop are included on the sheets. It is important for users to enter in their own numbers.  All blue cells are editable by the user.</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endParaRPr lang="en-US"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91167</xdr:colOff>
      <xdr:row>0</xdr:row>
      <xdr:rowOff>34018</xdr:rowOff>
    </xdr:from>
    <xdr:to>
      <xdr:col>2</xdr:col>
      <xdr:colOff>621270</xdr:colOff>
      <xdr:row>4</xdr:row>
      <xdr:rowOff>1208</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67" y="34018"/>
          <a:ext cx="3730503" cy="567265"/>
        </a:xfrm>
        <a:prstGeom prst="rect">
          <a:avLst/>
        </a:prstGeom>
      </xdr:spPr>
    </xdr:pic>
    <xdr:clientData/>
  </xdr:twoCellAnchor>
  <xdr:oneCellAnchor>
    <xdr:from>
      <xdr:col>7</xdr:col>
      <xdr:colOff>19050</xdr:colOff>
      <xdr:row>24</xdr:row>
      <xdr:rowOff>19046</xdr:rowOff>
    </xdr:from>
    <xdr:ext cx="5143500" cy="5962653"/>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7296150" y="3695696"/>
          <a:ext cx="5143500" cy="5962653"/>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section is for determining costs, it is not a nutrient management planning tool.</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Some fertilizer input options in the budget will not be utilized for some crops.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Cost Calculator tab is a separate sheet that is set up to provide the user tools to easily calculate nutrient costs per pound of nutrient, or cost per acre of product for fertilizer additives.</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input section is set up with two options.  This is to try to make entry as simple as possible for users.  When entering fertilizer inputs, only enter them in one of the two sections so you do not double count them.</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first section is set up to calculate the cost based on the total pounds or gallons of each fertilizer product applied that is entered along with the corresponding price.  These fertilizer materials are often materials that are providing multiple nutrients with that product, like starters or blends such as 9-23-30.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second section is set up to calculate cost based on the pounds of actual nutrient applied per acre for the three primary nutrients.  In this section the pounds of actual nutrient are entered along with a price per lb. of nutrient.  The Fertilizer Cost Calculator tab is set up to calculate cost per lb. of nutrient.  There is a section of the Phosphorus cost/ lb. of nutrient calculator to help determine the cost of nitrogen that is a component of some common phosphorus fertilizer sources in the Fertilizer Cost Tab.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Use the N cost calculator in the P fertilizer section, (cell I47), on the Fertilizer Cost Calculator sheet to determine the cost for cell E39 on this page.</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manure line should be used to account for the cost of any purchased manure inputs and it's application.  Application of on farm produced manure should be accounted for in pre-harvest field operation costs.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Other fertilizer line can be used for micronutrients, or a combination of inputs not accounted for in the other fertilizer expense categories in the budget.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Include Custom hired Fertilizer Application Costs if it is not already included in the cost of the fertilizer entered in other locations in the budget sheet.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There is a soil test cost calculator on the Fertilizer Cost Calculator Sheet.</a:t>
          </a:r>
        </a:p>
        <a:p>
          <a:endParaRPr lang="en-US" sz="1000" baseline="0">
            <a:latin typeface="Arial" panose="020B0604020202020204" pitchFamily="34" charset="0"/>
            <a:cs typeface="Arial" panose="020B0604020202020204" pitchFamily="34" charset="0"/>
          </a:endParaRPr>
        </a:p>
      </xdr:txBody>
    </xdr:sp>
    <xdr:clientData/>
  </xdr:oneCellAnchor>
  <xdr:twoCellAnchor>
    <xdr:from>
      <xdr:col>7</xdr:col>
      <xdr:colOff>57149</xdr:colOff>
      <xdr:row>60</xdr:row>
      <xdr:rowOff>57150</xdr:rowOff>
    </xdr:from>
    <xdr:to>
      <xdr:col>16</xdr:col>
      <xdr:colOff>285750</xdr:colOff>
      <xdr:row>72</xdr:row>
      <xdr:rowOff>14288</xdr:rowOff>
    </xdr:to>
    <xdr:sp macro="" textlink="">
      <xdr:nvSpPr>
        <xdr:cNvPr id="4" name="TextBox 3">
          <a:extLst>
            <a:ext uri="{FF2B5EF4-FFF2-40B4-BE49-F238E27FC236}">
              <a16:creationId xmlns:a16="http://schemas.microsoft.com/office/drawing/2014/main" id="{00000000-0008-0000-0C00-000004000000}"/>
            </a:ext>
          </a:extLst>
        </xdr:cNvPr>
        <xdr:cNvSpPr txBox="1"/>
      </xdr:nvSpPr>
      <xdr:spPr>
        <a:xfrm>
          <a:off x="7848599" y="10267950"/>
          <a:ext cx="5910264" cy="1919288"/>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chemeClr val="dk1"/>
              </a:solidFill>
              <a:effectLst/>
              <a:latin typeface="+mn-lt"/>
              <a:ea typeface="+mn-ea"/>
              <a:cs typeface="+mn-cs"/>
            </a:rPr>
            <a:t>If you want to pro-rate seed costs over the entire life of the stand enter the </a:t>
          </a:r>
          <a:r>
            <a:rPr lang="en-US" sz="1100" b="1" baseline="0">
              <a:solidFill>
                <a:schemeClr val="dk1"/>
              </a:solidFill>
              <a:effectLst/>
              <a:latin typeface="+mn-lt"/>
              <a:ea typeface="+mn-ea"/>
              <a:cs typeface="+mn-cs"/>
            </a:rPr>
            <a:t>Expected years of stand </a:t>
          </a:r>
          <a:r>
            <a:rPr lang="en-US" sz="1100" baseline="0">
              <a:solidFill>
                <a:schemeClr val="dk1"/>
              </a:solidFill>
              <a:effectLst/>
              <a:latin typeface="+mn-lt"/>
              <a:ea typeface="+mn-ea"/>
              <a:cs typeface="+mn-cs"/>
            </a:rPr>
            <a:t>life in that cell.</a:t>
          </a:r>
        </a:p>
        <a:p>
          <a:endParaRPr lang="en-US">
            <a:effectLst/>
          </a:endParaRPr>
        </a:p>
        <a:p>
          <a:r>
            <a:rPr lang="en-US" sz="1100" b="1" baseline="0">
              <a:solidFill>
                <a:schemeClr val="dk1"/>
              </a:solidFill>
              <a:effectLst/>
              <a:latin typeface="+mn-lt"/>
              <a:ea typeface="+mn-ea"/>
              <a:cs typeface="+mn-cs"/>
            </a:rPr>
            <a:t>If you are crediting all seed costs to the seeding year, do not enter any seed costs into these established year budgets.</a:t>
          </a:r>
        </a:p>
        <a:p>
          <a:endParaRPr lang="en-US">
            <a:effectLst/>
          </a:endParaRPr>
        </a:p>
        <a:p>
          <a:r>
            <a:rPr lang="en-US" sz="1100" b="0" baseline="0">
              <a:solidFill>
                <a:schemeClr val="dk1"/>
              </a:solidFill>
              <a:effectLst/>
              <a:latin typeface="+mn-lt"/>
              <a:ea typeface="+mn-ea"/>
              <a:cs typeface="+mn-cs"/>
            </a:rPr>
            <a:t>Then enter in the perennial seed costs and seeding rates for the stand.</a:t>
          </a:r>
        </a:p>
        <a:p>
          <a:endParaRPr lang="en-US">
            <a:effectLst/>
          </a:endParaRPr>
        </a:p>
        <a:p>
          <a:r>
            <a:rPr lang="en-US" sz="1100" b="0" i="0" baseline="0">
              <a:solidFill>
                <a:schemeClr val="dk1"/>
              </a:solidFill>
              <a:effectLst/>
              <a:latin typeface="+mn-lt"/>
              <a:ea typeface="+mn-ea"/>
              <a:cs typeface="+mn-cs"/>
            </a:rPr>
            <a:t>Lines  are available to enter any established stand renovation/ rescue seeding costs into the budget.  Those costs will all be credited to this current years expenses.</a:t>
          </a:r>
          <a:endParaRPr lang="en-US">
            <a:effectLst/>
          </a:endParaRPr>
        </a:p>
        <a:p>
          <a:endParaRPr lang="en-US" sz="1100" b="1"/>
        </a:p>
      </xdr:txBody>
    </xdr:sp>
    <xdr:clientData/>
  </xdr:twoCellAnchor>
  <xdr:oneCellAnchor>
    <xdr:from>
      <xdr:col>15</xdr:col>
      <xdr:colOff>542925</xdr:colOff>
      <xdr:row>55</xdr:row>
      <xdr:rowOff>19050</xdr:rowOff>
    </xdr:from>
    <xdr:ext cx="184731" cy="264560"/>
    <xdr:sp macro="" textlink="">
      <xdr:nvSpPr>
        <xdr:cNvPr id="5" name="TextBox 4">
          <a:extLst>
            <a:ext uri="{FF2B5EF4-FFF2-40B4-BE49-F238E27FC236}">
              <a16:creationId xmlns:a16="http://schemas.microsoft.com/office/drawing/2014/main" id="{00000000-0008-0000-0C00-000005000000}"/>
            </a:ext>
          </a:extLst>
        </xdr:cNvPr>
        <xdr:cNvSpPr txBox="1"/>
      </xdr:nvSpPr>
      <xdr:spPr>
        <a:xfrm>
          <a:off x="1254442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28575</xdr:colOff>
      <xdr:row>74</xdr:row>
      <xdr:rowOff>0</xdr:rowOff>
    </xdr:from>
    <xdr:to>
      <xdr:col>16</xdr:col>
      <xdr:colOff>333375</xdr:colOff>
      <xdr:row>93</xdr:row>
      <xdr:rowOff>23812</xdr:rowOff>
    </xdr:to>
    <xdr:sp macro="" textlink="">
      <xdr:nvSpPr>
        <xdr:cNvPr id="6" name="TextBox 5">
          <a:extLst>
            <a:ext uri="{FF2B5EF4-FFF2-40B4-BE49-F238E27FC236}">
              <a16:creationId xmlns:a16="http://schemas.microsoft.com/office/drawing/2014/main" id="{00000000-0008-0000-0C00-000006000000}"/>
            </a:ext>
          </a:extLst>
        </xdr:cNvPr>
        <xdr:cNvSpPr txBox="1"/>
      </xdr:nvSpPr>
      <xdr:spPr>
        <a:xfrm>
          <a:off x="7305675" y="12182475"/>
          <a:ext cx="5600700" cy="3109912"/>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Pest control inputs are separated into pesticide</a:t>
          </a:r>
          <a:r>
            <a:rPr lang="en-US" sz="1100" baseline="0"/>
            <a:t> costs and the application costs. </a:t>
          </a:r>
        </a:p>
        <a:p>
          <a:endParaRPr lang="en-US" sz="1100" baseline="0"/>
        </a:p>
        <a:p>
          <a:r>
            <a:rPr lang="en-US" sz="1100" b="1" baseline="0"/>
            <a:t>There are multiple lines for several pest control applications because some years may require additional passes depending on pest pressure. Be sure you are scouting the crops and using IPM determined thresholds to determine if applications are necessary.  When using these to project costs, include your average number of applications from past years.</a:t>
          </a:r>
        </a:p>
        <a:p>
          <a:endParaRPr lang="en-US" sz="1100" b="1" baseline="0"/>
        </a:p>
        <a:p>
          <a:r>
            <a:rPr lang="en-US" sz="1100" baseline="0"/>
            <a:t>Use caution not to double count costs, some examples are:</a:t>
          </a:r>
        </a:p>
        <a:p>
          <a:endParaRPr lang="en-US" sz="1100" baseline="0"/>
        </a:p>
        <a:p>
          <a:r>
            <a:rPr lang="en-US" sz="1100" baseline="0"/>
            <a:t>Seed treatment, for example, the application cost may be covered by the planting cost which is in a separate section, and the seed treatment cost it's self may be in the seed cost.</a:t>
          </a:r>
        </a:p>
        <a:p>
          <a:endParaRPr lang="en-US" sz="1100" baseline="0"/>
        </a:p>
        <a:p>
          <a:r>
            <a:rPr lang="en-US" sz="1100" baseline="0"/>
            <a:t>Some products, like foliar insecticide could be tank mixed with an herbicide application depending on timing of need and application cost should only be included once.</a:t>
          </a:r>
        </a:p>
        <a:p>
          <a:endParaRPr lang="en-US" sz="1100" baseline="0"/>
        </a:p>
        <a:p>
          <a:r>
            <a:rPr lang="en-US" sz="1100" baseline="0"/>
            <a:t>*Include application costs here whether you apply your own or hire it done. </a:t>
          </a:r>
          <a:endParaRPr lang="en-US" sz="1100"/>
        </a:p>
      </xdr:txBody>
    </xdr:sp>
    <xdr:clientData/>
  </xdr:twoCellAnchor>
  <xdr:twoCellAnchor>
    <xdr:from>
      <xdr:col>7</xdr:col>
      <xdr:colOff>28574</xdr:colOff>
      <xdr:row>119</xdr:row>
      <xdr:rowOff>19051</xdr:rowOff>
    </xdr:from>
    <xdr:to>
      <xdr:col>20</xdr:col>
      <xdr:colOff>19049</xdr:colOff>
      <xdr:row>128</xdr:row>
      <xdr:rowOff>19051</xdr:rowOff>
    </xdr:to>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7305674" y="19602451"/>
          <a:ext cx="7572375" cy="1504950"/>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budget is set up so that Preharvest and Harvest Operations include fuel, repairs, machine storage, insurance on machinery, labor, and depreciation.  Following are links to resources to help determine these costs.  The spreadsheet resources from Iowa State and Minnesota will help estimate these costs closer to user’s actual costs than average values in fact sheets and custom rate guides.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Machinery operation cost fact sheet estimates often use assumptions of annual acres of use that may not be close to users of this budget so their estimates may not accurately represent user’s actual costs.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Click on the left end cell of the links to the resources below to go to those web pages.</a:t>
          </a:r>
        </a:p>
        <a:p>
          <a:endParaRPr lang="en-US" sz="1100"/>
        </a:p>
      </xdr:txBody>
    </xdr:sp>
    <xdr:clientData/>
  </xdr:twoCellAnchor>
  <xdr:oneCellAnchor>
    <xdr:from>
      <xdr:col>7</xdr:col>
      <xdr:colOff>63500</xdr:colOff>
      <xdr:row>107</xdr:row>
      <xdr:rowOff>127000</xdr:rowOff>
    </xdr:from>
    <xdr:ext cx="5199063" cy="571500"/>
    <xdr:sp macro="" textlink="">
      <xdr:nvSpPr>
        <xdr:cNvPr id="8" name="TextBox 7">
          <a:extLst>
            <a:ext uri="{FF2B5EF4-FFF2-40B4-BE49-F238E27FC236}">
              <a16:creationId xmlns:a16="http://schemas.microsoft.com/office/drawing/2014/main" id="{00000000-0008-0000-0C00-000008000000}"/>
            </a:ext>
          </a:extLst>
        </xdr:cNvPr>
        <xdr:cNvSpPr txBox="1"/>
      </xdr:nvSpPr>
      <xdr:spPr>
        <a:xfrm>
          <a:off x="7340600" y="17691100"/>
          <a:ext cx="5199063" cy="571500"/>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If</a:t>
          </a:r>
          <a:r>
            <a:rPr lang="en-US" sz="1100" baseline="0"/>
            <a:t> soil sampling and test costs are part of the nutrient management plan costs, or part of </a:t>
          </a:r>
        </a:p>
        <a:p>
          <a:r>
            <a:rPr lang="en-US" sz="1100" baseline="0"/>
            <a:t>crop scouting service, make sure to only enter them in once at the location of your choice.</a:t>
          </a:r>
          <a:endParaRPr lang="en-US" sz="1100"/>
        </a:p>
      </xdr:txBody>
    </xdr:sp>
    <xdr:clientData/>
  </xdr:oneCellAnchor>
  <xdr:twoCellAnchor>
    <xdr:from>
      <xdr:col>6</xdr:col>
      <xdr:colOff>865187</xdr:colOff>
      <xdr:row>172</xdr:row>
      <xdr:rowOff>44450</xdr:rowOff>
    </xdr:from>
    <xdr:to>
      <xdr:col>17</xdr:col>
      <xdr:colOff>293687</xdr:colOff>
      <xdr:row>175</xdr:row>
      <xdr:rowOff>68262</xdr:rowOff>
    </xdr:to>
    <xdr:sp macro="" textlink="">
      <xdr:nvSpPr>
        <xdr:cNvPr id="9" name="TextBox 8">
          <a:extLst>
            <a:ext uri="{FF2B5EF4-FFF2-40B4-BE49-F238E27FC236}">
              <a16:creationId xmlns:a16="http://schemas.microsoft.com/office/drawing/2014/main" id="{00000000-0008-0000-0C00-000009000000}"/>
            </a:ext>
          </a:extLst>
        </xdr:cNvPr>
        <xdr:cNvSpPr txBox="1"/>
      </xdr:nvSpPr>
      <xdr:spPr>
        <a:xfrm>
          <a:off x="7246937" y="28467050"/>
          <a:ext cx="6191250" cy="509587"/>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hauling section prorates a full load of what ever size turck is used to a per acre cost based on total yield  enter above.</a:t>
          </a:r>
          <a:endParaRPr lang="en-US" sz="1100"/>
        </a:p>
      </xdr:txBody>
    </xdr:sp>
    <xdr:clientData/>
  </xdr:twoCellAnchor>
  <xdr:twoCellAnchor>
    <xdr:from>
      <xdr:col>6</xdr:col>
      <xdr:colOff>828676</xdr:colOff>
      <xdr:row>176</xdr:row>
      <xdr:rowOff>41565</xdr:rowOff>
    </xdr:from>
    <xdr:to>
      <xdr:col>17</xdr:col>
      <xdr:colOff>352425</xdr:colOff>
      <xdr:row>177</xdr:row>
      <xdr:rowOff>142875</xdr:rowOff>
    </xdr:to>
    <xdr:sp macro="" textlink="">
      <xdr:nvSpPr>
        <xdr:cNvPr id="10" name="TextBox 9">
          <a:extLst>
            <a:ext uri="{FF2B5EF4-FFF2-40B4-BE49-F238E27FC236}">
              <a16:creationId xmlns:a16="http://schemas.microsoft.com/office/drawing/2014/main" id="{00000000-0008-0000-0C00-00000A000000}"/>
            </a:ext>
          </a:extLst>
        </xdr:cNvPr>
        <xdr:cNvSpPr txBox="1"/>
      </xdr:nvSpPr>
      <xdr:spPr>
        <a:xfrm>
          <a:off x="7210426" y="29111865"/>
          <a:ext cx="6286499" cy="263235"/>
        </a:xfrm>
        <a:prstGeom prst="rect">
          <a:avLst/>
        </a:prstGeom>
        <a:solidFill>
          <a:srgbClr val="F0F0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Bags and covers price per acre</a:t>
          </a:r>
          <a:r>
            <a:rPr lang="en-US" sz="1100" baseline="0"/>
            <a:t> pro-rate the expense based on yield entered at the top</a:t>
          </a:r>
          <a:endParaRPr lang="en-US" sz="1100"/>
        </a:p>
      </xdr:txBody>
    </xdr:sp>
    <xdr:clientData/>
  </xdr:twoCellAnchor>
  <xdr:twoCellAnchor>
    <xdr:from>
      <xdr:col>7</xdr:col>
      <xdr:colOff>19050</xdr:colOff>
      <xdr:row>149</xdr:row>
      <xdr:rowOff>19050</xdr:rowOff>
    </xdr:from>
    <xdr:to>
      <xdr:col>20</xdr:col>
      <xdr:colOff>57150</xdr:colOff>
      <xdr:row>166</xdr:row>
      <xdr:rowOff>142875</xdr:rowOff>
    </xdr:to>
    <xdr:sp macro="" textlink="">
      <xdr:nvSpPr>
        <xdr:cNvPr id="11" name="TextBox 10">
          <a:extLst>
            <a:ext uri="{FF2B5EF4-FFF2-40B4-BE49-F238E27FC236}">
              <a16:creationId xmlns:a16="http://schemas.microsoft.com/office/drawing/2014/main" id="{00000000-0008-0000-0C00-00000B000000}"/>
            </a:ext>
          </a:extLst>
        </xdr:cNvPr>
        <xdr:cNvSpPr txBox="1"/>
      </xdr:nvSpPr>
      <xdr:spPr>
        <a:xfrm>
          <a:off x="7296150" y="24717375"/>
          <a:ext cx="7620000" cy="2876550"/>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budget</a:t>
          </a:r>
          <a:r>
            <a:rPr lang="en-US" sz="1100" baseline="0"/>
            <a:t> tool is set up to allow entry of harvest costs on per acre, per hour, per bale and per ton basis due to the many ways that these costs may be known or billed for.  </a:t>
          </a:r>
        </a:p>
        <a:p>
          <a:endParaRPr lang="en-US" sz="1100" baseline="0"/>
        </a:p>
        <a:p>
          <a:r>
            <a:rPr lang="en-US" sz="1100" baseline="0"/>
            <a:t>It is neccessary to use careful consideration to accurately account for the harvest costs without missing or double counting expenses by unintetionally entering the cost in more than one place.  Some operations may be used on some cuttings, but not all cuttings.  For example in a 3 cutting example, two of the cuttings may be chopped and a third cutting made into big bale silage. </a:t>
          </a:r>
        </a:p>
        <a:p>
          <a:r>
            <a:rPr lang="en-US" sz="1100" baseline="0"/>
            <a:t>When entering it will be nessessary to privide a reasonable estimate on the number of bales per acre per year and number of tons per acre per year because multiple harvesting methods could be used, such as in the example given earlier in this paragraph.</a:t>
          </a:r>
        </a:p>
        <a:p>
          <a:endParaRPr lang="en-US" sz="1100" baseline="0"/>
        </a:p>
        <a:p>
          <a:r>
            <a:rPr lang="en-US" sz="1100" baseline="0"/>
            <a:t>To assist with the estimate the following table shows a percentage of total annual yield by cutting.</a:t>
          </a:r>
        </a:p>
        <a:p>
          <a:endParaRPr lang="en-US" sz="1100" baseline="0"/>
        </a:p>
        <a:p>
          <a:r>
            <a:rPr lang="en-US" sz="1100" u="sng" baseline="0"/>
            <a:t>cutting	3 cuttings	4 cuttings</a:t>
          </a:r>
        </a:p>
        <a:p>
          <a:r>
            <a:rPr lang="en-US" sz="1100" u="none" baseline="0"/>
            <a:t>1st	46%	36%</a:t>
          </a:r>
        </a:p>
        <a:p>
          <a:r>
            <a:rPr lang="en-US" sz="1100" u="none" baseline="0"/>
            <a:t>2nd	28%	25%</a:t>
          </a:r>
        </a:p>
        <a:p>
          <a:r>
            <a:rPr lang="en-US" sz="1100" u="none" baseline="0"/>
            <a:t>3rd	26%	21%</a:t>
          </a:r>
        </a:p>
        <a:p>
          <a:r>
            <a:rPr lang="en-US" sz="1100" u="none" baseline="0"/>
            <a:t>4th		18%</a:t>
          </a:r>
        </a:p>
      </xdr:txBody>
    </xdr:sp>
    <xdr:clientData/>
  </xdr:twoCellAnchor>
  <xdr:twoCellAnchor>
    <xdr:from>
      <xdr:col>7</xdr:col>
      <xdr:colOff>19050</xdr:colOff>
      <xdr:row>196</xdr:row>
      <xdr:rowOff>85725</xdr:rowOff>
    </xdr:from>
    <xdr:to>
      <xdr:col>18</xdr:col>
      <xdr:colOff>114300</xdr:colOff>
      <xdr:row>200</xdr:row>
      <xdr:rowOff>104775</xdr:rowOff>
    </xdr:to>
    <xdr:sp macro="" textlink="">
      <xdr:nvSpPr>
        <xdr:cNvPr id="12" name="TextBox 11">
          <a:extLst>
            <a:ext uri="{FF2B5EF4-FFF2-40B4-BE49-F238E27FC236}">
              <a16:creationId xmlns:a16="http://schemas.microsoft.com/office/drawing/2014/main" id="{00000000-0008-0000-0C00-00000C000000}"/>
            </a:ext>
          </a:extLst>
        </xdr:cNvPr>
        <xdr:cNvSpPr txBox="1"/>
      </xdr:nvSpPr>
      <xdr:spPr>
        <a:xfrm>
          <a:off x="7296150" y="32394525"/>
          <a:ext cx="6467475" cy="685800"/>
        </a:xfrm>
        <a:prstGeom prst="rect">
          <a:avLst/>
        </a:prstGeom>
        <a:solidFill>
          <a:srgbClr val="F0F0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Breakevens</a:t>
          </a:r>
          <a:r>
            <a:rPr lang="en-US" sz="1100" baseline="0"/>
            <a:t> are calculated on total tons for forage harvested per acre including nurse crop forage if a yield is entered. Established stands should not have a nurse crop yield or expenses, but could have an emergency/ salvage seeding.</a:t>
          </a:r>
          <a:endParaRPr lang="en-US" sz="1100"/>
        </a:p>
      </xdr:txBody>
    </xdr:sp>
    <xdr:clientData/>
  </xdr:twoCellAnchor>
  <xdr:twoCellAnchor>
    <xdr:from>
      <xdr:col>7</xdr:col>
      <xdr:colOff>0</xdr:colOff>
      <xdr:row>18</xdr:row>
      <xdr:rowOff>0</xdr:rowOff>
    </xdr:from>
    <xdr:to>
      <xdr:col>15</xdr:col>
      <xdr:colOff>403225</xdr:colOff>
      <xdr:row>22</xdr:row>
      <xdr:rowOff>47625</xdr:rowOff>
    </xdr:to>
    <xdr:sp macro="" textlink="">
      <xdr:nvSpPr>
        <xdr:cNvPr id="13" name="TextBox 12">
          <a:extLst>
            <a:ext uri="{FF2B5EF4-FFF2-40B4-BE49-F238E27FC236}">
              <a16:creationId xmlns:a16="http://schemas.microsoft.com/office/drawing/2014/main" id="{00000000-0008-0000-0C00-00000D000000}"/>
            </a:ext>
          </a:extLst>
        </xdr:cNvPr>
        <xdr:cNvSpPr txBox="1"/>
      </xdr:nvSpPr>
      <xdr:spPr>
        <a:xfrm>
          <a:off x="7277100" y="2686050"/>
          <a:ext cx="5127625" cy="714375"/>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This</a:t>
          </a:r>
          <a:r>
            <a:rPr lang="en-US" sz="1000" baseline="0">
              <a:latin typeface="Arial" panose="020B0604020202020204" pitchFamily="34" charset="0"/>
              <a:cs typeface="Arial" panose="020B0604020202020204" pitchFamily="34" charset="0"/>
            </a:rPr>
            <a:t> enterprise budget has example revenue and expense numbers in it.  Users need to put thire own revenue and expenses into the spreadsheet.  All blue cells are set up for the user to enter in their own information.</a:t>
          </a:r>
          <a:endParaRPr lang="en-US" sz="1000">
            <a:latin typeface="Arial" panose="020B0604020202020204" pitchFamily="34" charset="0"/>
            <a:cs typeface="Arial" panose="020B0604020202020204" pitchFamily="34" charset="0"/>
          </a:endParaRPr>
        </a:p>
      </xdr:txBody>
    </xdr:sp>
    <xdr:clientData/>
  </xdr:twoCellAnchor>
  <xdr:oneCellAnchor>
    <xdr:from>
      <xdr:col>7</xdr:col>
      <xdr:colOff>95250</xdr:colOff>
      <xdr:row>203</xdr:row>
      <xdr:rowOff>95250</xdr:rowOff>
    </xdr:from>
    <xdr:ext cx="7277313" cy="264560"/>
    <xdr:sp macro="" textlink="">
      <xdr:nvSpPr>
        <xdr:cNvPr id="14" name="TextBox 13">
          <a:extLst>
            <a:ext uri="{FF2B5EF4-FFF2-40B4-BE49-F238E27FC236}">
              <a16:creationId xmlns:a16="http://schemas.microsoft.com/office/drawing/2014/main" id="{00000000-0008-0000-0C00-00000E000000}"/>
            </a:ext>
          </a:extLst>
        </xdr:cNvPr>
        <xdr:cNvSpPr txBox="1"/>
      </xdr:nvSpPr>
      <xdr:spPr>
        <a:xfrm>
          <a:off x="7372350" y="33556575"/>
          <a:ext cx="7277313" cy="264560"/>
        </a:xfrm>
        <a:prstGeom prst="rect">
          <a:avLst/>
        </a:prstGeom>
        <a:solidFill>
          <a:srgbClr val="F0F090"/>
        </a:solidFill>
        <a:ln>
          <a:solidFill>
            <a:schemeClr val="lt1">
              <a:shade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Sensitivity analysis is for primary</a:t>
          </a:r>
          <a:r>
            <a:rPr lang="en-US" sz="1100" baseline="0"/>
            <a:t> forage yield and price only.  Nurse crop value is held constant to what is entered at the top.</a:t>
          </a:r>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91167</xdr:colOff>
      <xdr:row>0</xdr:row>
      <xdr:rowOff>34018</xdr:rowOff>
    </xdr:from>
    <xdr:to>
      <xdr:col>2</xdr:col>
      <xdr:colOff>430770</xdr:colOff>
      <xdr:row>4</xdr:row>
      <xdr:rowOff>1208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67" y="34018"/>
          <a:ext cx="3501903" cy="567265"/>
        </a:xfrm>
        <a:prstGeom prst="rect">
          <a:avLst/>
        </a:prstGeom>
      </xdr:spPr>
    </xdr:pic>
    <xdr:clientData/>
  </xdr:twoCellAnchor>
  <xdr:oneCellAnchor>
    <xdr:from>
      <xdr:col>7</xdr:col>
      <xdr:colOff>19050</xdr:colOff>
      <xdr:row>24</xdr:row>
      <xdr:rowOff>19046</xdr:rowOff>
    </xdr:from>
    <xdr:ext cx="5143500" cy="5962653"/>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7296150" y="3695696"/>
          <a:ext cx="5143500" cy="5962653"/>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section is for determining costs, it is not a nutrient management planning tool.</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Some fertilizer input options in the budget will not be utilized for some crops.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Cost Calculator tab is a separate sheet that is set up to provide the user tools to easily calculate nutrient costs per pound of nutrient, or cost per acre of product for fertilizer additives.</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input section is set up with two options.  This is to try to make entry as simple as possible for users.  When entering fertilizer inputs, only enter them in one of the two sections so you do not double count them.</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first section is set up to calculate the cost based on the total pounds or gallons of each fertilizer product applied that is entered along with the corresponding price.  These fertilizer materials are often materials that are providing multiple nutrients with that product, like starters or blends such as 9-23-30.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second section is set up to calculate cost based on the pounds of actual nutrient applied per acre for the three primary nutrients.  In this section the pounds of actual nutrient are entered along with a price per lb. of nutrient.  The Fertilizer Cost Calculator tab is set up to calculate cost per lb. of nutrient.  There is a section of the Phosphorus cost/ lb. of nutrient calculator to help determine the cost of nitrogen that is a component of some common phosphorus fertilizer sources in the Fertilizer Cost Tab.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Use the N cost calculator in the P fertilizer section, (cell I47), on the Fertilizer Cost Calculator sheet to determine the cost for cell E39 on this page.</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manure line should be used to account for the cost of any purchased manure inputs and it's application.  Application of on farm produced manure should be accounted for in pre-harvest field operation costs.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Other fertilizer line can be used for micronutrients, or a combination of inputs not accounted for in the other fertilizer expense categories in the budget.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Include Custom hired Fertilizer Application Costs if it is not already included in the cost of the fertilizer entered in other locations in the budget sheet.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There is a soil test cost calculator on the Fertilizer Cost Calculator Sheet.</a:t>
          </a:r>
        </a:p>
        <a:p>
          <a:endParaRPr lang="en-US" sz="1000" baseline="0">
            <a:latin typeface="Arial" panose="020B0604020202020204" pitchFamily="34" charset="0"/>
            <a:cs typeface="Arial" panose="020B0604020202020204" pitchFamily="34" charset="0"/>
          </a:endParaRPr>
        </a:p>
      </xdr:txBody>
    </xdr:sp>
    <xdr:clientData/>
  </xdr:oneCellAnchor>
  <xdr:twoCellAnchor>
    <xdr:from>
      <xdr:col>7</xdr:col>
      <xdr:colOff>38099</xdr:colOff>
      <xdr:row>64</xdr:row>
      <xdr:rowOff>9525</xdr:rowOff>
    </xdr:from>
    <xdr:to>
      <xdr:col>16</xdr:col>
      <xdr:colOff>266700</xdr:colOff>
      <xdr:row>66</xdr:row>
      <xdr:rowOff>157163</xdr:rowOff>
    </xdr:to>
    <xdr:sp macro="" textlink="">
      <xdr:nvSpPr>
        <xdr:cNvPr id="4" name="TextBox 3">
          <a:extLst>
            <a:ext uri="{FF2B5EF4-FFF2-40B4-BE49-F238E27FC236}">
              <a16:creationId xmlns:a16="http://schemas.microsoft.com/office/drawing/2014/main" id="{00000000-0008-0000-0D00-000004000000}"/>
            </a:ext>
          </a:extLst>
        </xdr:cNvPr>
        <xdr:cNvSpPr txBox="1"/>
      </xdr:nvSpPr>
      <xdr:spPr>
        <a:xfrm>
          <a:off x="7829549" y="10877550"/>
          <a:ext cx="5910264" cy="471488"/>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This is an annual forage crop budget and all seed costs are credited</a:t>
          </a:r>
          <a:r>
            <a:rPr lang="en-US" sz="1100" b="1" baseline="0"/>
            <a:t> to this crop budget.</a:t>
          </a:r>
          <a:endParaRPr lang="en-US" sz="1100" b="1"/>
        </a:p>
      </xdr:txBody>
    </xdr:sp>
    <xdr:clientData/>
  </xdr:twoCellAnchor>
  <xdr:oneCellAnchor>
    <xdr:from>
      <xdr:col>15</xdr:col>
      <xdr:colOff>542925</xdr:colOff>
      <xdr:row>55</xdr:row>
      <xdr:rowOff>19050</xdr:rowOff>
    </xdr:from>
    <xdr:ext cx="184731" cy="264560"/>
    <xdr:sp macro="" textlink="">
      <xdr:nvSpPr>
        <xdr:cNvPr id="5" name="TextBox 4">
          <a:extLst>
            <a:ext uri="{FF2B5EF4-FFF2-40B4-BE49-F238E27FC236}">
              <a16:creationId xmlns:a16="http://schemas.microsoft.com/office/drawing/2014/main" id="{00000000-0008-0000-0D00-000005000000}"/>
            </a:ext>
          </a:extLst>
        </xdr:cNvPr>
        <xdr:cNvSpPr txBox="1"/>
      </xdr:nvSpPr>
      <xdr:spPr>
        <a:xfrm>
          <a:off x="1254442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28575</xdr:colOff>
      <xdr:row>74</xdr:row>
      <xdr:rowOff>0</xdr:rowOff>
    </xdr:from>
    <xdr:to>
      <xdr:col>16</xdr:col>
      <xdr:colOff>333375</xdr:colOff>
      <xdr:row>93</xdr:row>
      <xdr:rowOff>23812</xdr:rowOff>
    </xdr:to>
    <xdr:sp macro="" textlink="">
      <xdr:nvSpPr>
        <xdr:cNvPr id="6" name="TextBox 5">
          <a:extLst>
            <a:ext uri="{FF2B5EF4-FFF2-40B4-BE49-F238E27FC236}">
              <a16:creationId xmlns:a16="http://schemas.microsoft.com/office/drawing/2014/main" id="{00000000-0008-0000-0D00-000006000000}"/>
            </a:ext>
          </a:extLst>
        </xdr:cNvPr>
        <xdr:cNvSpPr txBox="1"/>
      </xdr:nvSpPr>
      <xdr:spPr>
        <a:xfrm>
          <a:off x="7305675" y="12182475"/>
          <a:ext cx="5600700" cy="3109912"/>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Pest control inputs are separated into pesticide</a:t>
          </a:r>
          <a:r>
            <a:rPr lang="en-US" sz="1100" baseline="0"/>
            <a:t> costs and the application costs. </a:t>
          </a:r>
        </a:p>
        <a:p>
          <a:endParaRPr lang="en-US" sz="1100" baseline="0"/>
        </a:p>
        <a:p>
          <a:r>
            <a:rPr lang="en-US" sz="1100" b="1" baseline="0"/>
            <a:t>There are multiple lines for several pest control applications because some years may require additional passes depending on pest pressure. Be sure you are scouting the crops and using IPM determined thresholds to determine if applications are necessary.  When using these to project costs, include your average number of applications from past years.</a:t>
          </a:r>
        </a:p>
        <a:p>
          <a:endParaRPr lang="en-US" sz="1100" b="1" baseline="0"/>
        </a:p>
        <a:p>
          <a:r>
            <a:rPr lang="en-US" sz="1100" baseline="0"/>
            <a:t>Use caution not to double count costs, some examples are:</a:t>
          </a:r>
        </a:p>
        <a:p>
          <a:endParaRPr lang="en-US" sz="1100" baseline="0"/>
        </a:p>
        <a:p>
          <a:r>
            <a:rPr lang="en-US" sz="1100" baseline="0"/>
            <a:t>Seed treatment, for example, the application cost may be covered by the planting cost which is in a separate section, and the seed treatment cost it's self may be in the seed cost.</a:t>
          </a:r>
        </a:p>
        <a:p>
          <a:endParaRPr lang="en-US" sz="1100" baseline="0"/>
        </a:p>
        <a:p>
          <a:r>
            <a:rPr lang="en-US" sz="1100" baseline="0"/>
            <a:t>Some products, like foliar insecticide could be tank mixed with an herbicide application depending on timing of need and application cost should only be included once.</a:t>
          </a:r>
        </a:p>
        <a:p>
          <a:endParaRPr lang="en-US" sz="1100" baseline="0"/>
        </a:p>
        <a:p>
          <a:r>
            <a:rPr lang="en-US" sz="1100" baseline="0"/>
            <a:t>*Include application costs here whether you apply your own or hire it done. </a:t>
          </a:r>
          <a:endParaRPr lang="en-US" sz="1100"/>
        </a:p>
      </xdr:txBody>
    </xdr:sp>
    <xdr:clientData/>
  </xdr:twoCellAnchor>
  <xdr:twoCellAnchor>
    <xdr:from>
      <xdr:col>7</xdr:col>
      <xdr:colOff>28574</xdr:colOff>
      <xdr:row>119</xdr:row>
      <xdr:rowOff>19051</xdr:rowOff>
    </xdr:from>
    <xdr:to>
      <xdr:col>20</xdr:col>
      <xdr:colOff>19049</xdr:colOff>
      <xdr:row>128</xdr:row>
      <xdr:rowOff>19051</xdr:rowOff>
    </xdr:to>
    <xdr:sp macro="" textlink="">
      <xdr:nvSpPr>
        <xdr:cNvPr id="7" name="TextBox 6">
          <a:extLst>
            <a:ext uri="{FF2B5EF4-FFF2-40B4-BE49-F238E27FC236}">
              <a16:creationId xmlns:a16="http://schemas.microsoft.com/office/drawing/2014/main" id="{00000000-0008-0000-0D00-000007000000}"/>
            </a:ext>
          </a:extLst>
        </xdr:cNvPr>
        <xdr:cNvSpPr txBox="1"/>
      </xdr:nvSpPr>
      <xdr:spPr>
        <a:xfrm>
          <a:off x="7305674" y="19602451"/>
          <a:ext cx="7572375" cy="1504950"/>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budget is set up so that Preharvest and Harvest Operations include fuel, repairs, machine storage, insurance on machinery, labor, and depreciation.  Following are links to resources to help determine these costs.  The spreadsheet resources from Iowa State and Minnesota will help estimate these costs closer to user’s actual costs than average values in fact sheets and custom rate guides.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Machinery operation cost fact sheet estimates often use assumptions of annual acres of use that may not be close to users of this budget so their estimates may not accurately represent user’s actual costs.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Click on the left end cell of the links to the resources below to go to those web pages.</a:t>
          </a:r>
        </a:p>
        <a:p>
          <a:endParaRPr lang="en-US" sz="1100"/>
        </a:p>
      </xdr:txBody>
    </xdr:sp>
    <xdr:clientData/>
  </xdr:twoCellAnchor>
  <xdr:oneCellAnchor>
    <xdr:from>
      <xdr:col>7</xdr:col>
      <xdr:colOff>63500</xdr:colOff>
      <xdr:row>107</xdr:row>
      <xdr:rowOff>127000</xdr:rowOff>
    </xdr:from>
    <xdr:ext cx="5199063" cy="571500"/>
    <xdr:sp macro="" textlink="">
      <xdr:nvSpPr>
        <xdr:cNvPr id="8" name="TextBox 7">
          <a:extLst>
            <a:ext uri="{FF2B5EF4-FFF2-40B4-BE49-F238E27FC236}">
              <a16:creationId xmlns:a16="http://schemas.microsoft.com/office/drawing/2014/main" id="{00000000-0008-0000-0D00-000008000000}"/>
            </a:ext>
          </a:extLst>
        </xdr:cNvPr>
        <xdr:cNvSpPr txBox="1"/>
      </xdr:nvSpPr>
      <xdr:spPr>
        <a:xfrm>
          <a:off x="7340600" y="17691100"/>
          <a:ext cx="5199063" cy="571500"/>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If</a:t>
          </a:r>
          <a:r>
            <a:rPr lang="en-US" sz="1100" baseline="0"/>
            <a:t> soil sampling and test costs are part of the nutrient management plan costs, or part of </a:t>
          </a:r>
        </a:p>
        <a:p>
          <a:r>
            <a:rPr lang="en-US" sz="1100" baseline="0"/>
            <a:t>crop scouting service, make sure to only enter them in once at the location of your choice.</a:t>
          </a:r>
          <a:endParaRPr lang="en-US" sz="1100"/>
        </a:p>
      </xdr:txBody>
    </xdr:sp>
    <xdr:clientData/>
  </xdr:oneCellAnchor>
  <xdr:twoCellAnchor>
    <xdr:from>
      <xdr:col>6</xdr:col>
      <xdr:colOff>865187</xdr:colOff>
      <xdr:row>173</xdr:row>
      <xdr:rowOff>111125</xdr:rowOff>
    </xdr:from>
    <xdr:to>
      <xdr:col>17</xdr:col>
      <xdr:colOff>293687</xdr:colOff>
      <xdr:row>176</xdr:row>
      <xdr:rowOff>134937</xdr:rowOff>
    </xdr:to>
    <xdr:sp macro="" textlink="">
      <xdr:nvSpPr>
        <xdr:cNvPr id="9" name="TextBox 8">
          <a:extLst>
            <a:ext uri="{FF2B5EF4-FFF2-40B4-BE49-F238E27FC236}">
              <a16:creationId xmlns:a16="http://schemas.microsoft.com/office/drawing/2014/main" id="{00000000-0008-0000-0D00-000009000000}"/>
            </a:ext>
          </a:extLst>
        </xdr:cNvPr>
        <xdr:cNvSpPr txBox="1"/>
      </xdr:nvSpPr>
      <xdr:spPr>
        <a:xfrm>
          <a:off x="7246937" y="28467050"/>
          <a:ext cx="6191250" cy="509587"/>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hauling section prorates a full load of what ever size turck is used to a per acre cost based on total yield  enter above.</a:t>
          </a:r>
          <a:endParaRPr lang="en-US" sz="1100"/>
        </a:p>
      </xdr:txBody>
    </xdr:sp>
    <xdr:clientData/>
  </xdr:twoCellAnchor>
  <xdr:twoCellAnchor>
    <xdr:from>
      <xdr:col>6</xdr:col>
      <xdr:colOff>857251</xdr:colOff>
      <xdr:row>177</xdr:row>
      <xdr:rowOff>155865</xdr:rowOff>
    </xdr:from>
    <xdr:to>
      <xdr:col>17</xdr:col>
      <xdr:colOff>381000</xdr:colOff>
      <xdr:row>179</xdr:row>
      <xdr:rowOff>95250</xdr:rowOff>
    </xdr:to>
    <xdr:sp macro="" textlink="">
      <xdr:nvSpPr>
        <xdr:cNvPr id="10" name="TextBox 9">
          <a:extLst>
            <a:ext uri="{FF2B5EF4-FFF2-40B4-BE49-F238E27FC236}">
              <a16:creationId xmlns:a16="http://schemas.microsoft.com/office/drawing/2014/main" id="{00000000-0008-0000-0D00-00000A000000}"/>
            </a:ext>
          </a:extLst>
        </xdr:cNvPr>
        <xdr:cNvSpPr txBox="1"/>
      </xdr:nvSpPr>
      <xdr:spPr>
        <a:xfrm>
          <a:off x="7239001" y="29159490"/>
          <a:ext cx="6286499" cy="263235"/>
        </a:xfrm>
        <a:prstGeom prst="rect">
          <a:avLst/>
        </a:prstGeom>
        <a:solidFill>
          <a:srgbClr val="F0F0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Bags and covers price per acre</a:t>
          </a:r>
          <a:r>
            <a:rPr lang="en-US" sz="1100" baseline="0"/>
            <a:t> pro-rate the expense based on yield entered at the top</a:t>
          </a:r>
          <a:endParaRPr lang="en-US" sz="1100"/>
        </a:p>
      </xdr:txBody>
    </xdr:sp>
    <xdr:clientData/>
  </xdr:twoCellAnchor>
  <xdr:twoCellAnchor>
    <xdr:from>
      <xdr:col>7</xdr:col>
      <xdr:colOff>0</xdr:colOff>
      <xdr:row>149</xdr:row>
      <xdr:rowOff>19050</xdr:rowOff>
    </xdr:from>
    <xdr:to>
      <xdr:col>20</xdr:col>
      <xdr:colOff>38100</xdr:colOff>
      <xdr:row>170</xdr:row>
      <xdr:rowOff>142875</xdr:rowOff>
    </xdr:to>
    <xdr:sp macro="" textlink="">
      <xdr:nvSpPr>
        <xdr:cNvPr id="11" name="TextBox 10">
          <a:extLst>
            <a:ext uri="{FF2B5EF4-FFF2-40B4-BE49-F238E27FC236}">
              <a16:creationId xmlns:a16="http://schemas.microsoft.com/office/drawing/2014/main" id="{00000000-0008-0000-0D00-00000B000000}"/>
            </a:ext>
          </a:extLst>
        </xdr:cNvPr>
        <xdr:cNvSpPr txBox="1"/>
      </xdr:nvSpPr>
      <xdr:spPr>
        <a:xfrm>
          <a:off x="7277100" y="24717375"/>
          <a:ext cx="7620000" cy="3524250"/>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budget</a:t>
          </a:r>
          <a:r>
            <a:rPr lang="en-US" sz="1100" baseline="0"/>
            <a:t> tool is set up to allow entry of harvest costs on per acre, per hour, per bale and per ton basis due to the many ways that these costs may be known or billed for.  </a:t>
          </a:r>
        </a:p>
        <a:p>
          <a:endParaRPr lang="en-US" sz="1100" baseline="0"/>
        </a:p>
        <a:p>
          <a:r>
            <a:rPr lang="en-US" sz="1100" baseline="0"/>
            <a:t>It is neccessary to use careful consideration to accurately account for the harvest costs without missing or double counting expenses by unintetionally entering the cost in more than one place.  Some operations may be used on some cuttings, but not all cuttings.  For example in a 3 cutting example, two of the cuttings may be chopped and a third cutting made into big bale silage. </a:t>
          </a:r>
        </a:p>
        <a:p>
          <a:r>
            <a:rPr lang="en-US" sz="1100" baseline="0"/>
            <a:t>When entering it will be nessessary to privide a reasonable estimate on the number of bales per acre per year and number of tons per acre per year because multiple harvesting methods could be used, such as in the example given earlier in this paragraph.</a:t>
          </a:r>
        </a:p>
        <a:p>
          <a:endParaRPr lang="en-US" sz="1100" baseline="0"/>
        </a:p>
        <a:p>
          <a:r>
            <a:rPr lang="en-US" sz="1100" baseline="0"/>
            <a:t>To assist with the estimate the following table shows a percentage of total annual yield by cutting.</a:t>
          </a:r>
        </a:p>
        <a:p>
          <a:endParaRPr lang="en-US" sz="1100" baseline="0"/>
        </a:p>
        <a:p>
          <a:r>
            <a:rPr lang="en-US" sz="1100" u="sng" baseline="0"/>
            <a:t>cutting	3 cuttings	4 cuttings</a:t>
          </a:r>
        </a:p>
        <a:p>
          <a:r>
            <a:rPr lang="en-US" sz="1100" u="none" baseline="0"/>
            <a:t>1st	40%	35%</a:t>
          </a:r>
        </a:p>
        <a:p>
          <a:r>
            <a:rPr lang="en-US" sz="1100" u="none" baseline="0"/>
            <a:t>2nd	30%	25%</a:t>
          </a:r>
        </a:p>
        <a:p>
          <a:r>
            <a:rPr lang="en-US" sz="1100" u="none" baseline="0"/>
            <a:t>3rd	30%	20%</a:t>
          </a:r>
        </a:p>
        <a:p>
          <a:r>
            <a:rPr lang="en-US" sz="1100" u="none" baseline="0"/>
            <a:t>4th		20%</a:t>
          </a:r>
        </a:p>
      </xdr:txBody>
    </xdr:sp>
    <xdr:clientData/>
  </xdr:twoCellAnchor>
  <xdr:twoCellAnchor>
    <xdr:from>
      <xdr:col>7</xdr:col>
      <xdr:colOff>19050</xdr:colOff>
      <xdr:row>196</xdr:row>
      <xdr:rowOff>85725</xdr:rowOff>
    </xdr:from>
    <xdr:to>
      <xdr:col>18</xdr:col>
      <xdr:colOff>114300</xdr:colOff>
      <xdr:row>199</xdr:row>
      <xdr:rowOff>38100</xdr:rowOff>
    </xdr:to>
    <xdr:sp macro="" textlink="">
      <xdr:nvSpPr>
        <xdr:cNvPr id="12" name="TextBox 11">
          <a:extLst>
            <a:ext uri="{FF2B5EF4-FFF2-40B4-BE49-F238E27FC236}">
              <a16:creationId xmlns:a16="http://schemas.microsoft.com/office/drawing/2014/main" id="{00000000-0008-0000-0D00-00000C000000}"/>
            </a:ext>
          </a:extLst>
        </xdr:cNvPr>
        <xdr:cNvSpPr txBox="1"/>
      </xdr:nvSpPr>
      <xdr:spPr>
        <a:xfrm>
          <a:off x="7296150" y="32165925"/>
          <a:ext cx="6534150" cy="457200"/>
        </a:xfrm>
        <a:prstGeom prst="rect">
          <a:avLst/>
        </a:prstGeom>
        <a:solidFill>
          <a:srgbClr val="F0F0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Breakevens</a:t>
          </a:r>
          <a:r>
            <a:rPr lang="en-US" sz="1100" baseline="0"/>
            <a:t> are calculated on total tons for forage harvested per acre including nurse crop forage if a yield is entered.</a:t>
          </a:r>
          <a:endParaRPr lang="en-US" sz="1100"/>
        </a:p>
      </xdr:txBody>
    </xdr:sp>
    <xdr:clientData/>
  </xdr:twoCellAnchor>
  <xdr:twoCellAnchor>
    <xdr:from>
      <xdr:col>7</xdr:col>
      <xdr:colOff>0</xdr:colOff>
      <xdr:row>18</xdr:row>
      <xdr:rowOff>0</xdr:rowOff>
    </xdr:from>
    <xdr:to>
      <xdr:col>15</xdr:col>
      <xdr:colOff>403225</xdr:colOff>
      <xdr:row>22</xdr:row>
      <xdr:rowOff>47625</xdr:rowOff>
    </xdr:to>
    <xdr:sp macro="" textlink="">
      <xdr:nvSpPr>
        <xdr:cNvPr id="13" name="TextBox 12">
          <a:extLst>
            <a:ext uri="{FF2B5EF4-FFF2-40B4-BE49-F238E27FC236}">
              <a16:creationId xmlns:a16="http://schemas.microsoft.com/office/drawing/2014/main" id="{00000000-0008-0000-0D00-00000D000000}"/>
            </a:ext>
          </a:extLst>
        </xdr:cNvPr>
        <xdr:cNvSpPr txBox="1"/>
      </xdr:nvSpPr>
      <xdr:spPr>
        <a:xfrm>
          <a:off x="7277100" y="2686050"/>
          <a:ext cx="5127625" cy="714375"/>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This</a:t>
          </a:r>
          <a:r>
            <a:rPr lang="en-US" sz="1000" baseline="0">
              <a:latin typeface="Arial" panose="020B0604020202020204" pitchFamily="34" charset="0"/>
              <a:cs typeface="Arial" panose="020B0604020202020204" pitchFamily="34" charset="0"/>
            </a:rPr>
            <a:t> enterprise budget has example revenue and expense numbers in it.  Users need to put thire own revenue and expenses into the spreadsheet.  All blue cells are set up for the user to enter in their own information.</a:t>
          </a:r>
          <a:endParaRPr lang="en-US" sz="1000">
            <a:latin typeface="Arial" panose="020B0604020202020204" pitchFamily="34" charset="0"/>
            <a:cs typeface="Arial" panose="020B0604020202020204" pitchFamily="34" charset="0"/>
          </a:endParaRPr>
        </a:p>
      </xdr:txBody>
    </xdr:sp>
    <xdr:clientData/>
  </xdr:twoCellAnchor>
  <xdr:oneCellAnchor>
    <xdr:from>
      <xdr:col>7</xdr:col>
      <xdr:colOff>47625</xdr:colOff>
      <xdr:row>200</xdr:row>
      <xdr:rowOff>123825</xdr:rowOff>
    </xdr:from>
    <xdr:ext cx="7277313" cy="264560"/>
    <xdr:sp macro="" textlink="">
      <xdr:nvSpPr>
        <xdr:cNvPr id="14" name="TextBox 13">
          <a:extLst>
            <a:ext uri="{FF2B5EF4-FFF2-40B4-BE49-F238E27FC236}">
              <a16:creationId xmlns:a16="http://schemas.microsoft.com/office/drawing/2014/main" id="{00000000-0008-0000-0D00-00000E000000}"/>
            </a:ext>
          </a:extLst>
        </xdr:cNvPr>
        <xdr:cNvSpPr txBox="1"/>
      </xdr:nvSpPr>
      <xdr:spPr>
        <a:xfrm>
          <a:off x="7324725" y="33099375"/>
          <a:ext cx="7277313" cy="264560"/>
        </a:xfrm>
        <a:prstGeom prst="rect">
          <a:avLst/>
        </a:prstGeom>
        <a:solidFill>
          <a:srgbClr val="F0F090"/>
        </a:solidFill>
        <a:ln>
          <a:solidFill>
            <a:schemeClr val="lt1">
              <a:shade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Sensitivity analysis is for primary forage yield and price only.  Nurse</a:t>
          </a:r>
          <a:r>
            <a:rPr lang="en-US" sz="1100" baseline="0"/>
            <a:t> crop value is held constant to what is entered at the top.</a:t>
          </a:r>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91167</xdr:colOff>
      <xdr:row>0</xdr:row>
      <xdr:rowOff>34018</xdr:rowOff>
    </xdr:from>
    <xdr:to>
      <xdr:col>2</xdr:col>
      <xdr:colOff>430770</xdr:colOff>
      <xdr:row>4</xdr:row>
      <xdr:rowOff>1208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67" y="34018"/>
          <a:ext cx="3395223" cy="553930"/>
        </a:xfrm>
        <a:prstGeom prst="rect">
          <a:avLst/>
        </a:prstGeom>
      </xdr:spPr>
    </xdr:pic>
    <xdr:clientData/>
  </xdr:twoCellAnchor>
  <xdr:oneCellAnchor>
    <xdr:from>
      <xdr:col>7</xdr:col>
      <xdr:colOff>19050</xdr:colOff>
      <xdr:row>24</xdr:row>
      <xdr:rowOff>19046</xdr:rowOff>
    </xdr:from>
    <xdr:ext cx="5143500" cy="5962653"/>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509510" y="3981446"/>
          <a:ext cx="5143500" cy="5962653"/>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section is for determining costs, it is not a nutrient management planning tool.</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Some fertilizer input options in the budget will not be utilized for some crops.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Cost Calculator tab is a separate sheet that is set up to provide the user tools to easily calculate nutrient costs per pound of nutrient, or cost per acre of product for fertilizer additives.</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input section is set up with two options.  This is to try to make entry as simple as possible for users.  When entering fertilizer inputs, only enter them in one of the two sections so you do not double count them.</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first section is set up to calculate the cost based on the total pounds or gallons of each fertilizer product applied that is entered along with the corresponding price.  These fertilizer materials are often materials that are providing multiple nutrients with that product, like starters or blends such as 9-23-30.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second section is set up to calculate cost based on the pounds of actual nutrient applied per acre for the three primary nutrients.  In this section the pounds of actual nutrient are entered along with a price per lb. of nutrient.  The Fertilizer Cost Calculator tab is set up to calculate cost per lb. of nutrient.  There is a section of the Phosphorus cost/ lb. of nutrient calculator to help determine the cost of nitrogen that is a component of some common phosphorus fertilizer sources in the Fertilizer Cost Tab.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Use the N cost calculator in the P fertilizer section, (cell I47), on the Fertilizer Cost Calculator sheet to determine the cost for cell E39 on this page.</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manure line should be used to account for the cost of any purchased manure inputs and it's application.  Application of on farm produced manure should be accounted for in pre-harvest field operation costs.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Other fertilizer line can be used for micronutrients, or a combination of inputs not accounted for in the other fertilizer expense categories in the budget.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Include Custom hired Fertilizer Application Costs if it is not already included in the cost of the fertilizer entered in other locations in the budget sheet.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There is a soil test cost calculator on the Fertilizer Cost Calculator Sheet.</a:t>
          </a:r>
        </a:p>
        <a:p>
          <a:endParaRPr lang="en-US" sz="1000" baseline="0">
            <a:latin typeface="Arial" panose="020B0604020202020204" pitchFamily="34" charset="0"/>
            <a:cs typeface="Arial" panose="020B0604020202020204" pitchFamily="34" charset="0"/>
          </a:endParaRPr>
        </a:p>
      </xdr:txBody>
    </xdr:sp>
    <xdr:clientData/>
  </xdr:oneCellAnchor>
  <xdr:twoCellAnchor>
    <xdr:from>
      <xdr:col>7</xdr:col>
      <xdr:colOff>38099</xdr:colOff>
      <xdr:row>64</xdr:row>
      <xdr:rowOff>9525</xdr:rowOff>
    </xdr:from>
    <xdr:to>
      <xdr:col>16</xdr:col>
      <xdr:colOff>266700</xdr:colOff>
      <xdr:row>66</xdr:row>
      <xdr:rowOff>157163</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7528559" y="10860405"/>
          <a:ext cx="5631181" cy="482918"/>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This is an annual forage crop budget and all seed costs are credited</a:t>
          </a:r>
          <a:r>
            <a:rPr lang="en-US" sz="1100" b="1" baseline="0"/>
            <a:t> to this crop budget.</a:t>
          </a:r>
          <a:endParaRPr lang="en-US" sz="1100" b="1"/>
        </a:p>
      </xdr:txBody>
    </xdr:sp>
    <xdr:clientData/>
  </xdr:twoCellAnchor>
  <xdr:oneCellAnchor>
    <xdr:from>
      <xdr:col>15</xdr:col>
      <xdr:colOff>542925</xdr:colOff>
      <xdr:row>55</xdr:row>
      <xdr:rowOff>19050</xdr:rowOff>
    </xdr:from>
    <xdr:ext cx="184731" cy="264560"/>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12856845" y="9361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28575</xdr:colOff>
      <xdr:row>74</xdr:row>
      <xdr:rowOff>0</xdr:rowOff>
    </xdr:from>
    <xdr:to>
      <xdr:col>16</xdr:col>
      <xdr:colOff>333375</xdr:colOff>
      <xdr:row>93</xdr:row>
      <xdr:rowOff>23812</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7519035" y="12527280"/>
          <a:ext cx="5707380" cy="3208972"/>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Pest control inputs are separated into pesticide</a:t>
          </a:r>
          <a:r>
            <a:rPr lang="en-US" sz="1100" baseline="0"/>
            <a:t> costs and the application costs. </a:t>
          </a:r>
        </a:p>
        <a:p>
          <a:endParaRPr lang="en-US" sz="1100" baseline="0"/>
        </a:p>
        <a:p>
          <a:r>
            <a:rPr lang="en-US" sz="1100" b="1" baseline="0"/>
            <a:t>There are multiple lines for several pest control applications because some years may require additional passes depending on pest pressure. Be sure you are scouting the crops and using IPM determined thresholds to determine if applications are necessary.  When using these to project costs, include your average number of applications from past years.</a:t>
          </a:r>
        </a:p>
        <a:p>
          <a:endParaRPr lang="en-US" sz="1100" b="1" baseline="0"/>
        </a:p>
        <a:p>
          <a:r>
            <a:rPr lang="en-US" sz="1100" baseline="0"/>
            <a:t>Use caution not to double count costs, some examples are:</a:t>
          </a:r>
        </a:p>
        <a:p>
          <a:endParaRPr lang="en-US" sz="1100" baseline="0"/>
        </a:p>
        <a:p>
          <a:r>
            <a:rPr lang="en-US" sz="1100" baseline="0"/>
            <a:t>Seed treatment, for example, the application cost may be covered by the planting cost which is in a separate section, and the seed treatment cost it's self may be in the seed cost.</a:t>
          </a:r>
        </a:p>
        <a:p>
          <a:endParaRPr lang="en-US" sz="1100" baseline="0"/>
        </a:p>
        <a:p>
          <a:r>
            <a:rPr lang="en-US" sz="1100" baseline="0"/>
            <a:t>Some products, like foliar insecticide could be tank mixed with an herbicide application depending on timing of need and application cost should only be included once.</a:t>
          </a:r>
        </a:p>
        <a:p>
          <a:endParaRPr lang="en-US" sz="1100" baseline="0"/>
        </a:p>
        <a:p>
          <a:r>
            <a:rPr lang="en-US" sz="1100" baseline="0"/>
            <a:t>*Include application costs here whether you apply your own or hire it done. </a:t>
          </a:r>
          <a:endParaRPr lang="en-US" sz="1100"/>
        </a:p>
      </xdr:txBody>
    </xdr:sp>
    <xdr:clientData/>
  </xdr:twoCellAnchor>
  <xdr:twoCellAnchor>
    <xdr:from>
      <xdr:col>7</xdr:col>
      <xdr:colOff>28574</xdr:colOff>
      <xdr:row>119</xdr:row>
      <xdr:rowOff>19051</xdr:rowOff>
    </xdr:from>
    <xdr:to>
      <xdr:col>20</xdr:col>
      <xdr:colOff>19049</xdr:colOff>
      <xdr:row>128</xdr:row>
      <xdr:rowOff>19051</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7519034" y="20135851"/>
          <a:ext cx="7709535" cy="1516380"/>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budget is set up so that Preharvest and Harvest Operations include fuel, repairs, machine storage, insurance on machinery, labor, and depreciation.  Following are links to resources to help determine these costs.  The spreadsheet resources from Iowa State and Minnesota will help estimate these costs closer to user’s actual costs than average values in fact sheets and custom rate guides.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Machinery operation cost fact sheet estimates often use assumptions of annual acres of use that may not be close to users of this budget so their estimates may not accurately represent user’s actual costs.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Click on the left end cell of the links to the resources below to go to those web pages.</a:t>
          </a:r>
        </a:p>
        <a:p>
          <a:endParaRPr lang="en-US" sz="1100"/>
        </a:p>
      </xdr:txBody>
    </xdr:sp>
    <xdr:clientData/>
  </xdr:twoCellAnchor>
  <xdr:oneCellAnchor>
    <xdr:from>
      <xdr:col>7</xdr:col>
      <xdr:colOff>63500</xdr:colOff>
      <xdr:row>107</xdr:row>
      <xdr:rowOff>127000</xdr:rowOff>
    </xdr:from>
    <xdr:ext cx="5199063" cy="571500"/>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7553960" y="18201640"/>
          <a:ext cx="5199063" cy="571500"/>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If</a:t>
          </a:r>
          <a:r>
            <a:rPr lang="en-US" sz="1100" baseline="0"/>
            <a:t> soil sampling and test costs are part of the nutrient management plan costs, or part of </a:t>
          </a:r>
        </a:p>
        <a:p>
          <a:r>
            <a:rPr lang="en-US" sz="1100" baseline="0"/>
            <a:t>crop scouting service, make sure to only enter them in once at the location of your choice.</a:t>
          </a:r>
          <a:endParaRPr lang="en-US" sz="1100"/>
        </a:p>
      </xdr:txBody>
    </xdr:sp>
    <xdr:clientData/>
  </xdr:oneCellAnchor>
  <xdr:twoCellAnchor>
    <xdr:from>
      <xdr:col>6</xdr:col>
      <xdr:colOff>865187</xdr:colOff>
      <xdr:row>173</xdr:row>
      <xdr:rowOff>111125</xdr:rowOff>
    </xdr:from>
    <xdr:to>
      <xdr:col>17</xdr:col>
      <xdr:colOff>293687</xdr:colOff>
      <xdr:row>176</xdr:row>
      <xdr:rowOff>134937</xdr:rowOff>
    </xdr:to>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7433627" y="28929965"/>
          <a:ext cx="6332220" cy="503872"/>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hauling section prorates a full load of what ever size turck is used to a per acre cost based on total yield  enter above.</a:t>
          </a:r>
          <a:endParaRPr lang="en-US" sz="1100"/>
        </a:p>
      </xdr:txBody>
    </xdr:sp>
    <xdr:clientData/>
  </xdr:twoCellAnchor>
  <xdr:twoCellAnchor>
    <xdr:from>
      <xdr:col>6</xdr:col>
      <xdr:colOff>857251</xdr:colOff>
      <xdr:row>177</xdr:row>
      <xdr:rowOff>155865</xdr:rowOff>
    </xdr:from>
    <xdr:to>
      <xdr:col>17</xdr:col>
      <xdr:colOff>381000</xdr:colOff>
      <xdr:row>179</xdr:row>
      <xdr:rowOff>95250</xdr:rowOff>
    </xdr:to>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7425691" y="29614785"/>
          <a:ext cx="6427469" cy="259425"/>
        </a:xfrm>
        <a:prstGeom prst="rect">
          <a:avLst/>
        </a:prstGeom>
        <a:solidFill>
          <a:srgbClr val="F0F0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Bags and covers price per acre</a:t>
          </a:r>
          <a:r>
            <a:rPr lang="en-US" sz="1100" baseline="0"/>
            <a:t> pro-rate the expense based on yield entered at the top</a:t>
          </a:r>
          <a:endParaRPr lang="en-US" sz="1100"/>
        </a:p>
      </xdr:txBody>
    </xdr:sp>
    <xdr:clientData/>
  </xdr:twoCellAnchor>
  <xdr:twoCellAnchor>
    <xdr:from>
      <xdr:col>7</xdr:col>
      <xdr:colOff>0</xdr:colOff>
      <xdr:row>149</xdr:row>
      <xdr:rowOff>19050</xdr:rowOff>
    </xdr:from>
    <xdr:to>
      <xdr:col>20</xdr:col>
      <xdr:colOff>38100</xdr:colOff>
      <xdr:row>170</xdr:row>
      <xdr:rowOff>142875</xdr:rowOff>
    </xdr:to>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7490460" y="24997410"/>
          <a:ext cx="7757160" cy="3484245"/>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budget</a:t>
          </a:r>
          <a:r>
            <a:rPr lang="en-US" sz="1100" baseline="0"/>
            <a:t> tool is set up to allow entry of harvest costs on per acre, per hour, per bale and per ton basis due to the many ways that these costs may be known or billed for.  </a:t>
          </a:r>
        </a:p>
        <a:p>
          <a:endParaRPr lang="en-US" sz="1100" baseline="0"/>
        </a:p>
        <a:p>
          <a:r>
            <a:rPr lang="en-US" sz="1100" baseline="0"/>
            <a:t>It is neccessary to use careful consideration to accurately account for the harvest costs without missing or double counting expenses by unintetionally entering the cost in more than one place.  Some operations may be used on some cuttings, but not all cuttings.  For example in a 3 cutting example, two of the cuttings may be chopped and a third cutting made into big bale silage. </a:t>
          </a:r>
        </a:p>
        <a:p>
          <a:r>
            <a:rPr lang="en-US" sz="1100" baseline="0"/>
            <a:t>When entering it will be nessessary to privide a reasonable estimate on the number of bales per acre per year and number of tons per acre per year because multiple harvesting methods could be used, such as in the example given earlier in this paragraph.</a:t>
          </a:r>
        </a:p>
        <a:p>
          <a:endParaRPr lang="en-US" sz="1100" baseline="0"/>
        </a:p>
        <a:p>
          <a:r>
            <a:rPr lang="en-US" sz="1100" baseline="0"/>
            <a:t>To assist with the estimate the following table shows a percentage of total annual yield by cutting.</a:t>
          </a:r>
        </a:p>
        <a:p>
          <a:endParaRPr lang="en-US" sz="1100" baseline="0"/>
        </a:p>
        <a:p>
          <a:r>
            <a:rPr lang="en-US" sz="1100" u="sng" baseline="0"/>
            <a:t>cutting	3 cuttings	4 cuttings</a:t>
          </a:r>
        </a:p>
        <a:p>
          <a:r>
            <a:rPr lang="en-US" sz="1100" u="none" baseline="0"/>
            <a:t>1st	40%	35%</a:t>
          </a:r>
        </a:p>
        <a:p>
          <a:r>
            <a:rPr lang="en-US" sz="1100" u="none" baseline="0"/>
            <a:t>2nd	30%	25%</a:t>
          </a:r>
        </a:p>
        <a:p>
          <a:r>
            <a:rPr lang="en-US" sz="1100" u="none" baseline="0"/>
            <a:t>3rd	30%	20%</a:t>
          </a:r>
        </a:p>
        <a:p>
          <a:r>
            <a:rPr lang="en-US" sz="1100" u="none" baseline="0"/>
            <a:t>4th		20%</a:t>
          </a:r>
        </a:p>
      </xdr:txBody>
    </xdr:sp>
    <xdr:clientData/>
  </xdr:twoCellAnchor>
  <xdr:twoCellAnchor>
    <xdr:from>
      <xdr:col>7</xdr:col>
      <xdr:colOff>19050</xdr:colOff>
      <xdr:row>196</xdr:row>
      <xdr:rowOff>85725</xdr:rowOff>
    </xdr:from>
    <xdr:to>
      <xdr:col>18</xdr:col>
      <xdr:colOff>114300</xdr:colOff>
      <xdr:row>199</xdr:row>
      <xdr:rowOff>38100</xdr:rowOff>
    </xdr:to>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7509510" y="32585025"/>
          <a:ext cx="6656070" cy="462915"/>
        </a:xfrm>
        <a:prstGeom prst="rect">
          <a:avLst/>
        </a:prstGeom>
        <a:solidFill>
          <a:srgbClr val="F0F0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Breakevens</a:t>
          </a:r>
          <a:r>
            <a:rPr lang="en-US" sz="1100" baseline="0"/>
            <a:t> are calculated on total tons for forage harvested per acre including nurse crop forage if a yield is entered.</a:t>
          </a:r>
          <a:endParaRPr lang="en-US" sz="1100"/>
        </a:p>
      </xdr:txBody>
    </xdr:sp>
    <xdr:clientData/>
  </xdr:twoCellAnchor>
  <xdr:twoCellAnchor>
    <xdr:from>
      <xdr:col>7</xdr:col>
      <xdr:colOff>0</xdr:colOff>
      <xdr:row>18</xdr:row>
      <xdr:rowOff>0</xdr:rowOff>
    </xdr:from>
    <xdr:to>
      <xdr:col>15</xdr:col>
      <xdr:colOff>403225</xdr:colOff>
      <xdr:row>22</xdr:row>
      <xdr:rowOff>47625</xdr:rowOff>
    </xdr:to>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7490460" y="2948940"/>
          <a:ext cx="5226685" cy="725805"/>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This</a:t>
          </a:r>
          <a:r>
            <a:rPr lang="en-US" sz="1000" baseline="0">
              <a:latin typeface="Arial" panose="020B0604020202020204" pitchFamily="34" charset="0"/>
              <a:cs typeface="Arial" panose="020B0604020202020204" pitchFamily="34" charset="0"/>
            </a:rPr>
            <a:t> enterprise budget has example revenue and expense numbers in it.  Users need to put thire own revenue and expenses into the spreadsheet.  All blue cells are set up for the user to enter in their own information.</a:t>
          </a:r>
          <a:endParaRPr lang="en-US" sz="1000">
            <a:latin typeface="Arial" panose="020B0604020202020204" pitchFamily="34" charset="0"/>
            <a:cs typeface="Arial" panose="020B0604020202020204" pitchFamily="34" charset="0"/>
          </a:endParaRPr>
        </a:p>
      </xdr:txBody>
    </xdr:sp>
    <xdr:clientData/>
  </xdr:twoCellAnchor>
  <xdr:oneCellAnchor>
    <xdr:from>
      <xdr:col>7</xdr:col>
      <xdr:colOff>47625</xdr:colOff>
      <xdr:row>200</xdr:row>
      <xdr:rowOff>123825</xdr:rowOff>
    </xdr:from>
    <xdr:ext cx="7277313" cy="264560"/>
    <xdr:sp macro="" textlink="">
      <xdr:nvSpPr>
        <xdr:cNvPr id="14" name="TextBox 13">
          <a:extLst>
            <a:ext uri="{FF2B5EF4-FFF2-40B4-BE49-F238E27FC236}">
              <a16:creationId xmlns:a16="http://schemas.microsoft.com/office/drawing/2014/main" id="{00000000-0008-0000-0400-00000E000000}"/>
            </a:ext>
          </a:extLst>
        </xdr:cNvPr>
        <xdr:cNvSpPr txBox="1"/>
      </xdr:nvSpPr>
      <xdr:spPr>
        <a:xfrm>
          <a:off x="7538085" y="33301305"/>
          <a:ext cx="7277313" cy="264560"/>
        </a:xfrm>
        <a:prstGeom prst="rect">
          <a:avLst/>
        </a:prstGeom>
        <a:solidFill>
          <a:srgbClr val="F0F090"/>
        </a:solidFill>
        <a:ln>
          <a:solidFill>
            <a:schemeClr val="lt1">
              <a:shade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Sensitivity analysis is for primary forage yield and price only.  Nurse</a:t>
          </a:r>
          <a:r>
            <a:rPr lang="en-US" sz="1100" baseline="0"/>
            <a:t> crop value is held constant to what is entered at the top.</a:t>
          </a:r>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0</xdr:col>
      <xdr:colOff>91167</xdr:colOff>
      <xdr:row>0</xdr:row>
      <xdr:rowOff>34018</xdr:rowOff>
    </xdr:from>
    <xdr:to>
      <xdr:col>2</xdr:col>
      <xdr:colOff>430770</xdr:colOff>
      <xdr:row>4</xdr:row>
      <xdr:rowOff>1208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67" y="34018"/>
          <a:ext cx="3395223" cy="553930"/>
        </a:xfrm>
        <a:prstGeom prst="rect">
          <a:avLst/>
        </a:prstGeom>
      </xdr:spPr>
    </xdr:pic>
    <xdr:clientData/>
  </xdr:twoCellAnchor>
  <xdr:oneCellAnchor>
    <xdr:from>
      <xdr:col>7</xdr:col>
      <xdr:colOff>19050</xdr:colOff>
      <xdr:row>24</xdr:row>
      <xdr:rowOff>19046</xdr:rowOff>
    </xdr:from>
    <xdr:ext cx="5143500" cy="5962653"/>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7509510" y="3981446"/>
          <a:ext cx="5143500" cy="5962653"/>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section is for determining costs, it is not a nutrient management planning tool.</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Some fertilizer input options in the budget will not be utilized for some crops.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Cost Calculator tab is a separate sheet that is set up to provide the user tools to easily calculate nutrient costs per pound of nutrient, or cost per acre of product for fertilizer additives.</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input section is set up with two options.  This is to try to make entry as simple as possible for users.  When entering fertilizer inputs, only enter them in one of the two sections so you do not double count them.</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first section is set up to calculate the cost based on the total pounds or gallons of each fertilizer product applied that is entered along with the corresponding price.  These fertilizer materials are often materials that are providing multiple nutrients with that product, like starters or blends such as 9-23-30.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second section is set up to calculate cost based on the pounds of actual nutrient applied per acre for the three primary nutrients.  In this section the pounds of actual nutrient are entered along with a price per lb. of nutrient.  The Fertilizer Cost Calculator tab is set up to calculate cost per lb. of nutrient.  There is a section of the Phosphorus cost/ lb. of nutrient calculator to help determine the cost of nitrogen that is a component of some common phosphorus fertilizer sources in the Fertilizer Cost Tab.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Use the N cost calculator in the P fertilizer section, (cell I47), on the Fertilizer Cost Calculator sheet to determine the cost for cell E39 on this page.</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manure line should be used to account for the cost of any purchased manure inputs and it's application.  Application of on farm produced manure should be accounted for in pre-harvest field operation costs.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Other fertilizer line can be used for micronutrients, or a combination of inputs not accounted for in the other fertilizer expense categories in the budget.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Include Custom hired Fertilizer Application Costs if it is not already included in the cost of the fertilizer entered in other locations in the budget sheet.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There is a soil test cost calculator on the Fertilizer Cost Calculator Sheet.</a:t>
          </a:r>
        </a:p>
        <a:p>
          <a:endParaRPr lang="en-US" sz="1000" baseline="0">
            <a:latin typeface="Arial" panose="020B0604020202020204" pitchFamily="34" charset="0"/>
            <a:cs typeface="Arial" panose="020B0604020202020204" pitchFamily="34" charset="0"/>
          </a:endParaRPr>
        </a:p>
      </xdr:txBody>
    </xdr:sp>
    <xdr:clientData/>
  </xdr:oneCellAnchor>
  <xdr:twoCellAnchor>
    <xdr:from>
      <xdr:col>7</xdr:col>
      <xdr:colOff>38099</xdr:colOff>
      <xdr:row>64</xdr:row>
      <xdr:rowOff>9525</xdr:rowOff>
    </xdr:from>
    <xdr:to>
      <xdr:col>16</xdr:col>
      <xdr:colOff>266700</xdr:colOff>
      <xdr:row>66</xdr:row>
      <xdr:rowOff>157163</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7528559" y="10860405"/>
          <a:ext cx="5631181" cy="482918"/>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This is an annual forage crop budget and all seed costs are credited</a:t>
          </a:r>
          <a:r>
            <a:rPr lang="en-US" sz="1100" b="1" baseline="0"/>
            <a:t> to this crop budget.</a:t>
          </a:r>
          <a:endParaRPr lang="en-US" sz="1100" b="1"/>
        </a:p>
      </xdr:txBody>
    </xdr:sp>
    <xdr:clientData/>
  </xdr:twoCellAnchor>
  <xdr:oneCellAnchor>
    <xdr:from>
      <xdr:col>15</xdr:col>
      <xdr:colOff>542925</xdr:colOff>
      <xdr:row>55</xdr:row>
      <xdr:rowOff>19050</xdr:rowOff>
    </xdr:from>
    <xdr:ext cx="184731" cy="264560"/>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12856845" y="9361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28575</xdr:colOff>
      <xdr:row>74</xdr:row>
      <xdr:rowOff>0</xdr:rowOff>
    </xdr:from>
    <xdr:to>
      <xdr:col>16</xdr:col>
      <xdr:colOff>333375</xdr:colOff>
      <xdr:row>93</xdr:row>
      <xdr:rowOff>23812</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7519035" y="12527280"/>
          <a:ext cx="5707380" cy="3208972"/>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Pest control inputs are separated into pesticide</a:t>
          </a:r>
          <a:r>
            <a:rPr lang="en-US" sz="1100" baseline="0"/>
            <a:t> costs and the application costs. </a:t>
          </a:r>
        </a:p>
        <a:p>
          <a:endParaRPr lang="en-US" sz="1100" baseline="0"/>
        </a:p>
        <a:p>
          <a:r>
            <a:rPr lang="en-US" sz="1100" b="1" baseline="0"/>
            <a:t>There are multiple lines for several pest control applications because some years may require additional passes depending on pest pressure. Be sure you are scouting the crops and using IPM determined thresholds to determine if applications are necessary.  When using these to project costs, include your average number of applications from past years.</a:t>
          </a:r>
        </a:p>
        <a:p>
          <a:endParaRPr lang="en-US" sz="1100" b="1" baseline="0"/>
        </a:p>
        <a:p>
          <a:r>
            <a:rPr lang="en-US" sz="1100" baseline="0"/>
            <a:t>Use caution not to double count costs, some examples are:</a:t>
          </a:r>
        </a:p>
        <a:p>
          <a:endParaRPr lang="en-US" sz="1100" baseline="0"/>
        </a:p>
        <a:p>
          <a:r>
            <a:rPr lang="en-US" sz="1100" baseline="0"/>
            <a:t>Seed treatment, for example, the application cost may be covered by the planting cost which is in a separate section, and the seed treatment cost it's self may be in the seed cost.</a:t>
          </a:r>
        </a:p>
        <a:p>
          <a:endParaRPr lang="en-US" sz="1100" baseline="0"/>
        </a:p>
        <a:p>
          <a:r>
            <a:rPr lang="en-US" sz="1100" baseline="0"/>
            <a:t>Some products, like foliar insecticide could be tank mixed with an herbicide application depending on timing of need and application cost should only be included once.</a:t>
          </a:r>
        </a:p>
        <a:p>
          <a:endParaRPr lang="en-US" sz="1100" baseline="0"/>
        </a:p>
        <a:p>
          <a:r>
            <a:rPr lang="en-US" sz="1100" baseline="0"/>
            <a:t>*Include application costs here whether you apply your own or hire it done. </a:t>
          </a:r>
          <a:endParaRPr lang="en-US" sz="1100"/>
        </a:p>
      </xdr:txBody>
    </xdr:sp>
    <xdr:clientData/>
  </xdr:twoCellAnchor>
  <xdr:twoCellAnchor>
    <xdr:from>
      <xdr:col>7</xdr:col>
      <xdr:colOff>28574</xdr:colOff>
      <xdr:row>119</xdr:row>
      <xdr:rowOff>19051</xdr:rowOff>
    </xdr:from>
    <xdr:to>
      <xdr:col>20</xdr:col>
      <xdr:colOff>19049</xdr:colOff>
      <xdr:row>128</xdr:row>
      <xdr:rowOff>19051</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7519034" y="20135851"/>
          <a:ext cx="7709535" cy="1516380"/>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budget is set up so that Preharvest and Harvest Operations include fuel, repairs, machine storage, insurance on machinery, labor, and depreciation.  Following are links to resources to help determine these costs.  The spreadsheet resources from Iowa State and Minnesota will help estimate these costs closer to user’s actual costs than average values in fact sheets and custom rate guides.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Machinery operation cost fact sheet estimates often use assumptions of annual acres of use that may not be close to users of this budget so their estimates may not accurately represent user’s actual costs.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Click on the left end cell of the links to the resources below to go to those web pages.</a:t>
          </a:r>
        </a:p>
        <a:p>
          <a:endParaRPr lang="en-US" sz="1100"/>
        </a:p>
      </xdr:txBody>
    </xdr:sp>
    <xdr:clientData/>
  </xdr:twoCellAnchor>
  <xdr:oneCellAnchor>
    <xdr:from>
      <xdr:col>7</xdr:col>
      <xdr:colOff>63500</xdr:colOff>
      <xdr:row>107</xdr:row>
      <xdr:rowOff>127000</xdr:rowOff>
    </xdr:from>
    <xdr:ext cx="5199063" cy="571500"/>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7553960" y="18201640"/>
          <a:ext cx="5199063" cy="571500"/>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If</a:t>
          </a:r>
          <a:r>
            <a:rPr lang="en-US" sz="1100" baseline="0"/>
            <a:t> soil sampling and test costs are part of the nutrient management plan costs, or part of </a:t>
          </a:r>
        </a:p>
        <a:p>
          <a:r>
            <a:rPr lang="en-US" sz="1100" baseline="0"/>
            <a:t>crop scouting service, make sure to only enter them in once at the location of your choice.</a:t>
          </a:r>
          <a:endParaRPr lang="en-US" sz="1100"/>
        </a:p>
      </xdr:txBody>
    </xdr:sp>
    <xdr:clientData/>
  </xdr:oneCellAnchor>
  <xdr:twoCellAnchor>
    <xdr:from>
      <xdr:col>6</xdr:col>
      <xdr:colOff>865187</xdr:colOff>
      <xdr:row>173</xdr:row>
      <xdr:rowOff>111125</xdr:rowOff>
    </xdr:from>
    <xdr:to>
      <xdr:col>17</xdr:col>
      <xdr:colOff>293687</xdr:colOff>
      <xdr:row>176</xdr:row>
      <xdr:rowOff>134937</xdr:rowOff>
    </xdr:to>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7433627" y="28929965"/>
          <a:ext cx="6332220" cy="503872"/>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hauling section prorates a full load of what ever size turck is used to a per acre cost based on total yield  enter above.</a:t>
          </a:r>
          <a:endParaRPr lang="en-US" sz="1100"/>
        </a:p>
      </xdr:txBody>
    </xdr:sp>
    <xdr:clientData/>
  </xdr:twoCellAnchor>
  <xdr:twoCellAnchor>
    <xdr:from>
      <xdr:col>6</xdr:col>
      <xdr:colOff>857251</xdr:colOff>
      <xdr:row>177</xdr:row>
      <xdr:rowOff>155865</xdr:rowOff>
    </xdr:from>
    <xdr:to>
      <xdr:col>17</xdr:col>
      <xdr:colOff>381000</xdr:colOff>
      <xdr:row>179</xdr:row>
      <xdr:rowOff>95250</xdr:rowOff>
    </xdr:to>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7425691" y="29614785"/>
          <a:ext cx="6427469" cy="259425"/>
        </a:xfrm>
        <a:prstGeom prst="rect">
          <a:avLst/>
        </a:prstGeom>
        <a:solidFill>
          <a:srgbClr val="F0F0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Bags and covers price per acre</a:t>
          </a:r>
          <a:r>
            <a:rPr lang="en-US" sz="1100" baseline="0"/>
            <a:t> pro-rate the expense based on yield entered at the top</a:t>
          </a:r>
          <a:endParaRPr lang="en-US" sz="1100"/>
        </a:p>
      </xdr:txBody>
    </xdr:sp>
    <xdr:clientData/>
  </xdr:twoCellAnchor>
  <xdr:twoCellAnchor>
    <xdr:from>
      <xdr:col>7</xdr:col>
      <xdr:colOff>0</xdr:colOff>
      <xdr:row>149</xdr:row>
      <xdr:rowOff>19050</xdr:rowOff>
    </xdr:from>
    <xdr:to>
      <xdr:col>20</xdr:col>
      <xdr:colOff>38100</xdr:colOff>
      <xdr:row>170</xdr:row>
      <xdr:rowOff>142875</xdr:rowOff>
    </xdr:to>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7490460" y="24997410"/>
          <a:ext cx="7757160" cy="3484245"/>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budget</a:t>
          </a:r>
          <a:r>
            <a:rPr lang="en-US" sz="1100" baseline="0"/>
            <a:t> tool is set up to allow entry of harvest costs on per acre, per hour, per bale and per ton basis due to the many ways that these costs may be known or billed for.  </a:t>
          </a:r>
        </a:p>
        <a:p>
          <a:endParaRPr lang="en-US" sz="1100" baseline="0"/>
        </a:p>
        <a:p>
          <a:r>
            <a:rPr lang="en-US" sz="1100" baseline="0"/>
            <a:t>It is neccessary to use careful consideration to accurately account for the harvest costs without missing or double counting expenses by unintetionally entering the cost in more than one place.  Some operations may be used on some cuttings, but not all cuttings.  For example in a 3 cutting example, two of the cuttings may be chopped and a third cutting made into big bale silage. </a:t>
          </a:r>
        </a:p>
        <a:p>
          <a:r>
            <a:rPr lang="en-US" sz="1100" baseline="0"/>
            <a:t>When entering it will be nessessary to privide a reasonable estimate on the number of bales per acre per year and number of tons per acre per year because multiple harvesting methods could be used, such as in the example given earlier in this paragraph.</a:t>
          </a:r>
        </a:p>
        <a:p>
          <a:endParaRPr lang="en-US" sz="1100" baseline="0"/>
        </a:p>
        <a:p>
          <a:r>
            <a:rPr lang="en-US" sz="1100" baseline="0"/>
            <a:t>To assist with the estimate the following table shows a percentage of total annual yield by cutting.</a:t>
          </a:r>
        </a:p>
        <a:p>
          <a:endParaRPr lang="en-US" sz="1100" baseline="0"/>
        </a:p>
        <a:p>
          <a:r>
            <a:rPr lang="en-US" sz="1100" u="sng" baseline="0"/>
            <a:t>cutting	3 cuttings	4 cuttings</a:t>
          </a:r>
        </a:p>
        <a:p>
          <a:r>
            <a:rPr lang="en-US" sz="1100" u="none" baseline="0"/>
            <a:t>1st	40%	35%</a:t>
          </a:r>
        </a:p>
        <a:p>
          <a:r>
            <a:rPr lang="en-US" sz="1100" u="none" baseline="0"/>
            <a:t>2nd	30%	25%</a:t>
          </a:r>
        </a:p>
        <a:p>
          <a:r>
            <a:rPr lang="en-US" sz="1100" u="none" baseline="0"/>
            <a:t>3rd	30%	20%</a:t>
          </a:r>
        </a:p>
        <a:p>
          <a:r>
            <a:rPr lang="en-US" sz="1100" u="none" baseline="0"/>
            <a:t>4th		20%</a:t>
          </a:r>
        </a:p>
      </xdr:txBody>
    </xdr:sp>
    <xdr:clientData/>
  </xdr:twoCellAnchor>
  <xdr:twoCellAnchor>
    <xdr:from>
      <xdr:col>7</xdr:col>
      <xdr:colOff>19050</xdr:colOff>
      <xdr:row>196</xdr:row>
      <xdr:rowOff>85725</xdr:rowOff>
    </xdr:from>
    <xdr:to>
      <xdr:col>18</xdr:col>
      <xdr:colOff>114300</xdr:colOff>
      <xdr:row>199</xdr:row>
      <xdr:rowOff>38100</xdr:rowOff>
    </xdr:to>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7509510" y="32585025"/>
          <a:ext cx="6656070" cy="462915"/>
        </a:xfrm>
        <a:prstGeom prst="rect">
          <a:avLst/>
        </a:prstGeom>
        <a:solidFill>
          <a:srgbClr val="F0F0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Breakevens</a:t>
          </a:r>
          <a:r>
            <a:rPr lang="en-US" sz="1100" baseline="0"/>
            <a:t> are calculated on total tons for forage harvested per acre including nurse crop forage if a yield is entered.</a:t>
          </a:r>
          <a:endParaRPr lang="en-US" sz="1100"/>
        </a:p>
      </xdr:txBody>
    </xdr:sp>
    <xdr:clientData/>
  </xdr:twoCellAnchor>
  <xdr:twoCellAnchor>
    <xdr:from>
      <xdr:col>7</xdr:col>
      <xdr:colOff>0</xdr:colOff>
      <xdr:row>18</xdr:row>
      <xdr:rowOff>0</xdr:rowOff>
    </xdr:from>
    <xdr:to>
      <xdr:col>15</xdr:col>
      <xdr:colOff>403225</xdr:colOff>
      <xdr:row>22</xdr:row>
      <xdr:rowOff>47625</xdr:rowOff>
    </xdr:to>
    <xdr:sp macro="" textlink="">
      <xdr:nvSpPr>
        <xdr:cNvPr id="13" name="TextBox 12">
          <a:extLst>
            <a:ext uri="{FF2B5EF4-FFF2-40B4-BE49-F238E27FC236}">
              <a16:creationId xmlns:a16="http://schemas.microsoft.com/office/drawing/2014/main" id="{00000000-0008-0000-0300-00000D000000}"/>
            </a:ext>
          </a:extLst>
        </xdr:cNvPr>
        <xdr:cNvSpPr txBox="1"/>
      </xdr:nvSpPr>
      <xdr:spPr>
        <a:xfrm>
          <a:off x="7490460" y="2948940"/>
          <a:ext cx="5226685" cy="725805"/>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This</a:t>
          </a:r>
          <a:r>
            <a:rPr lang="en-US" sz="1000" baseline="0">
              <a:latin typeface="Arial" panose="020B0604020202020204" pitchFamily="34" charset="0"/>
              <a:cs typeface="Arial" panose="020B0604020202020204" pitchFamily="34" charset="0"/>
            </a:rPr>
            <a:t> enterprise budget has example revenue and expense numbers in it.  Users need to put thire own revenue and expenses into the spreadsheet.  All blue cells are set up for the user to enter in their own information.</a:t>
          </a:r>
          <a:endParaRPr lang="en-US" sz="1000">
            <a:latin typeface="Arial" panose="020B0604020202020204" pitchFamily="34" charset="0"/>
            <a:cs typeface="Arial" panose="020B0604020202020204" pitchFamily="34" charset="0"/>
          </a:endParaRPr>
        </a:p>
      </xdr:txBody>
    </xdr:sp>
    <xdr:clientData/>
  </xdr:twoCellAnchor>
  <xdr:oneCellAnchor>
    <xdr:from>
      <xdr:col>7</xdr:col>
      <xdr:colOff>47625</xdr:colOff>
      <xdr:row>200</xdr:row>
      <xdr:rowOff>123825</xdr:rowOff>
    </xdr:from>
    <xdr:ext cx="7277313" cy="264560"/>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7538085" y="33301305"/>
          <a:ext cx="7277313" cy="264560"/>
        </a:xfrm>
        <a:prstGeom prst="rect">
          <a:avLst/>
        </a:prstGeom>
        <a:solidFill>
          <a:srgbClr val="F0F090"/>
        </a:solidFill>
        <a:ln>
          <a:solidFill>
            <a:schemeClr val="lt1">
              <a:shade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Sensitivity analysis is for primary forage yield and price only.  Nurse</a:t>
          </a:r>
          <a:r>
            <a:rPr lang="en-US" sz="1100" baseline="0"/>
            <a:t> crop value is held constant to what is entered at the top.</a:t>
          </a:r>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0</xdr:col>
      <xdr:colOff>91167</xdr:colOff>
      <xdr:row>0</xdr:row>
      <xdr:rowOff>34018</xdr:rowOff>
    </xdr:from>
    <xdr:to>
      <xdr:col>2</xdr:col>
      <xdr:colOff>430770</xdr:colOff>
      <xdr:row>4</xdr:row>
      <xdr:rowOff>1208</xdr:rowOff>
    </xdr:to>
    <xdr:pic>
      <xdr:nvPicPr>
        <xdr:cNvPr id="2" name="Picture 1">
          <a:extLst>
            <a:ext uri="{FF2B5EF4-FFF2-40B4-BE49-F238E27FC236}">
              <a16:creationId xmlns:a16="http://schemas.microsoft.com/office/drawing/2014/main" id="{29B51CDF-C2C4-4515-9510-3712D50512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67" y="34018"/>
          <a:ext cx="3311403" cy="567265"/>
        </a:xfrm>
        <a:prstGeom prst="rect">
          <a:avLst/>
        </a:prstGeom>
      </xdr:spPr>
    </xdr:pic>
    <xdr:clientData/>
  </xdr:twoCellAnchor>
  <xdr:oneCellAnchor>
    <xdr:from>
      <xdr:col>7</xdr:col>
      <xdr:colOff>19050</xdr:colOff>
      <xdr:row>24</xdr:row>
      <xdr:rowOff>19046</xdr:rowOff>
    </xdr:from>
    <xdr:ext cx="5143500" cy="5962653"/>
    <xdr:sp macro="" textlink="">
      <xdr:nvSpPr>
        <xdr:cNvPr id="3" name="TextBox 2">
          <a:extLst>
            <a:ext uri="{FF2B5EF4-FFF2-40B4-BE49-F238E27FC236}">
              <a16:creationId xmlns:a16="http://schemas.microsoft.com/office/drawing/2014/main" id="{8CDEFF82-AB11-4418-93A8-B0EA091BDBD7}"/>
            </a:ext>
          </a:extLst>
        </xdr:cNvPr>
        <xdr:cNvSpPr txBox="1"/>
      </xdr:nvSpPr>
      <xdr:spPr>
        <a:xfrm>
          <a:off x="7296150" y="3924296"/>
          <a:ext cx="5143500" cy="5962653"/>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section is for determining costs, it is not a nutrient management planning tool.</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Some fertilizer input options in the budget will not be utilized for some crops.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Cost Calculator tab is a separate sheet that is set up to provide the user tools to easily calculate nutrient costs per pound of nutrient, or cost per acre of product for fertilizer additives.</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input section is set up with two options.  This is to try to make entry as simple as possible for users.  When entering fertilizer inputs, only enter them in one of the two sections so you do not double count them.</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first section is set up to calculate the cost based on the total pounds or gallons of each fertilizer product applied that is entered along with the corresponding price.  These fertilizer materials are often materials that are providing multiple nutrients with that product, like starters or blends such as 9-23-30.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second section is set up to calculate cost based on the pounds of actual nutrient applied per acre for the three primary nutrients.  In this section the pounds of actual nutrient are entered along with a price per lb. of nutrient.  The Fertilizer Cost Calculator tab is set up to calculate cost per lb. of nutrient.  There is a section of the Phosphorus cost/ lb. of nutrient calculator to help determine the cost of nitrogen that is a component of some common phosphorus fertilizer sources in the Fertilizer Cost Tab.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Use the N cost calculator in the P fertilizer section, (cell I47), on the Fertilizer Cost Calculator sheet to determine the cost for cell E39 on this page.</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manure line should be used to account for the cost of any purchased manure inputs and it's application.  Application of on farm produced manure should be accounted for in pre-harvest field operation costs.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Other fertilizer line can be used for micronutrients, or a combination of inputs not accounted for in the other fertilizer expense categories in the budget.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Include Custom hired Fertilizer Application Costs if it is not already included in the cost of the fertilizer entered in other locations in the budget sheet.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There is a soil test cost calculator on the Fertilizer Cost Calculator Sheet.</a:t>
          </a:r>
        </a:p>
        <a:p>
          <a:endParaRPr lang="en-US" sz="1000" baseline="0">
            <a:latin typeface="Arial" panose="020B0604020202020204" pitchFamily="34" charset="0"/>
            <a:cs typeface="Arial" panose="020B0604020202020204" pitchFamily="34" charset="0"/>
          </a:endParaRPr>
        </a:p>
      </xdr:txBody>
    </xdr:sp>
    <xdr:clientData/>
  </xdr:oneCellAnchor>
  <xdr:twoCellAnchor>
    <xdr:from>
      <xdr:col>7</xdr:col>
      <xdr:colOff>38099</xdr:colOff>
      <xdr:row>64</xdr:row>
      <xdr:rowOff>9525</xdr:rowOff>
    </xdr:from>
    <xdr:to>
      <xdr:col>16</xdr:col>
      <xdr:colOff>266700</xdr:colOff>
      <xdr:row>66</xdr:row>
      <xdr:rowOff>157163</xdr:rowOff>
    </xdr:to>
    <xdr:sp macro="" textlink="">
      <xdr:nvSpPr>
        <xdr:cNvPr id="4" name="TextBox 3">
          <a:extLst>
            <a:ext uri="{FF2B5EF4-FFF2-40B4-BE49-F238E27FC236}">
              <a16:creationId xmlns:a16="http://schemas.microsoft.com/office/drawing/2014/main" id="{653C9721-36CA-4E0A-9C5A-AB3B2D2F5E23}"/>
            </a:ext>
          </a:extLst>
        </xdr:cNvPr>
        <xdr:cNvSpPr txBox="1"/>
      </xdr:nvSpPr>
      <xdr:spPr>
        <a:xfrm>
          <a:off x="7315199" y="10801350"/>
          <a:ext cx="5476876" cy="471488"/>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This is an annual forage crop budget and all seed costs are credited</a:t>
          </a:r>
          <a:r>
            <a:rPr lang="en-US" sz="1100" b="1" baseline="0"/>
            <a:t> to this crop budget.</a:t>
          </a:r>
          <a:endParaRPr lang="en-US" sz="1100" b="1"/>
        </a:p>
      </xdr:txBody>
    </xdr:sp>
    <xdr:clientData/>
  </xdr:twoCellAnchor>
  <xdr:oneCellAnchor>
    <xdr:from>
      <xdr:col>15</xdr:col>
      <xdr:colOff>542925</xdr:colOff>
      <xdr:row>55</xdr:row>
      <xdr:rowOff>19050</xdr:rowOff>
    </xdr:from>
    <xdr:ext cx="184731" cy="264560"/>
    <xdr:sp macro="" textlink="">
      <xdr:nvSpPr>
        <xdr:cNvPr id="5" name="TextBox 4">
          <a:extLst>
            <a:ext uri="{FF2B5EF4-FFF2-40B4-BE49-F238E27FC236}">
              <a16:creationId xmlns:a16="http://schemas.microsoft.com/office/drawing/2014/main" id="{A1E1B295-96B7-4AC4-900E-AFFF45FD9BAB}"/>
            </a:ext>
          </a:extLst>
        </xdr:cNvPr>
        <xdr:cNvSpPr txBox="1"/>
      </xdr:nvSpPr>
      <xdr:spPr>
        <a:xfrm>
          <a:off x="12506325" y="935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28575</xdr:colOff>
      <xdr:row>74</xdr:row>
      <xdr:rowOff>0</xdr:rowOff>
    </xdr:from>
    <xdr:to>
      <xdr:col>16</xdr:col>
      <xdr:colOff>333375</xdr:colOff>
      <xdr:row>93</xdr:row>
      <xdr:rowOff>23812</xdr:rowOff>
    </xdr:to>
    <xdr:sp macro="" textlink="">
      <xdr:nvSpPr>
        <xdr:cNvPr id="6" name="TextBox 5">
          <a:extLst>
            <a:ext uri="{FF2B5EF4-FFF2-40B4-BE49-F238E27FC236}">
              <a16:creationId xmlns:a16="http://schemas.microsoft.com/office/drawing/2014/main" id="{794DA6EA-D8FD-4528-8B09-26E6DC2AE5A7}"/>
            </a:ext>
          </a:extLst>
        </xdr:cNvPr>
        <xdr:cNvSpPr txBox="1"/>
      </xdr:nvSpPr>
      <xdr:spPr>
        <a:xfrm>
          <a:off x="7305675" y="12411075"/>
          <a:ext cx="5553075" cy="3109912"/>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Pest control inputs are separated into pesticide</a:t>
          </a:r>
          <a:r>
            <a:rPr lang="en-US" sz="1100" baseline="0"/>
            <a:t> costs and the application costs. </a:t>
          </a:r>
        </a:p>
        <a:p>
          <a:endParaRPr lang="en-US" sz="1100" baseline="0"/>
        </a:p>
        <a:p>
          <a:r>
            <a:rPr lang="en-US" sz="1100" b="1" baseline="0"/>
            <a:t>There are multiple lines for several pest control applications because some years may require additional passes depending on pest pressure. Be sure you are scouting the crops and using IPM determined thresholds to determine if applications are necessary.  When using these to project costs, include your average number of applications from past years.</a:t>
          </a:r>
        </a:p>
        <a:p>
          <a:endParaRPr lang="en-US" sz="1100" b="1" baseline="0"/>
        </a:p>
        <a:p>
          <a:r>
            <a:rPr lang="en-US" sz="1100" baseline="0"/>
            <a:t>Use caution not to double count costs, some examples are:</a:t>
          </a:r>
        </a:p>
        <a:p>
          <a:endParaRPr lang="en-US" sz="1100" baseline="0"/>
        </a:p>
        <a:p>
          <a:r>
            <a:rPr lang="en-US" sz="1100" baseline="0"/>
            <a:t>Seed treatment, for example, the application cost may be covered by the planting cost which is in a separate section, and the seed treatment cost it's self may be in the seed cost.</a:t>
          </a:r>
        </a:p>
        <a:p>
          <a:endParaRPr lang="en-US" sz="1100" baseline="0"/>
        </a:p>
        <a:p>
          <a:r>
            <a:rPr lang="en-US" sz="1100" baseline="0"/>
            <a:t>Some products, like foliar insecticide could be tank mixed with an herbicide application depending on timing of need and application cost should only be included once.</a:t>
          </a:r>
        </a:p>
        <a:p>
          <a:endParaRPr lang="en-US" sz="1100" baseline="0"/>
        </a:p>
        <a:p>
          <a:r>
            <a:rPr lang="en-US" sz="1100" baseline="0"/>
            <a:t>*Include application costs here whether you apply your own or hire it done. </a:t>
          </a:r>
          <a:endParaRPr lang="en-US" sz="1100"/>
        </a:p>
      </xdr:txBody>
    </xdr:sp>
    <xdr:clientData/>
  </xdr:twoCellAnchor>
  <xdr:twoCellAnchor>
    <xdr:from>
      <xdr:col>7</xdr:col>
      <xdr:colOff>28574</xdr:colOff>
      <xdr:row>119</xdr:row>
      <xdr:rowOff>19051</xdr:rowOff>
    </xdr:from>
    <xdr:to>
      <xdr:col>20</xdr:col>
      <xdr:colOff>19049</xdr:colOff>
      <xdr:row>128</xdr:row>
      <xdr:rowOff>19051</xdr:rowOff>
    </xdr:to>
    <xdr:sp macro="" textlink="">
      <xdr:nvSpPr>
        <xdr:cNvPr id="7" name="TextBox 6">
          <a:extLst>
            <a:ext uri="{FF2B5EF4-FFF2-40B4-BE49-F238E27FC236}">
              <a16:creationId xmlns:a16="http://schemas.microsoft.com/office/drawing/2014/main" id="{C11CC2F5-59B2-4515-9A68-DFCC02163E49}"/>
            </a:ext>
          </a:extLst>
        </xdr:cNvPr>
        <xdr:cNvSpPr txBox="1"/>
      </xdr:nvSpPr>
      <xdr:spPr>
        <a:xfrm>
          <a:off x="7305674" y="19831051"/>
          <a:ext cx="7486650" cy="1504950"/>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budget is set up so that Preharvest and Harvest Operations include fuel, repairs, machine storage, insurance on machinery, labor, and depreciation.  Following are links to resources to help determine these costs.  The spreadsheet resources from Iowa State and Minnesota will help estimate these costs closer to user’s actual costs than average values in fact sheets and custom rate guides.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Machinery operation cost fact sheet estimates often use assumptions of annual acres of use that may not be close to users of this budget so their estimates may not accurately represent user’s actual costs.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Click on the left end cell of the links to the resources below to go to those web pages.</a:t>
          </a:r>
        </a:p>
        <a:p>
          <a:endParaRPr lang="en-US" sz="1100"/>
        </a:p>
      </xdr:txBody>
    </xdr:sp>
    <xdr:clientData/>
  </xdr:twoCellAnchor>
  <xdr:oneCellAnchor>
    <xdr:from>
      <xdr:col>7</xdr:col>
      <xdr:colOff>63500</xdr:colOff>
      <xdr:row>107</xdr:row>
      <xdr:rowOff>127000</xdr:rowOff>
    </xdr:from>
    <xdr:ext cx="5199063" cy="571500"/>
    <xdr:sp macro="" textlink="">
      <xdr:nvSpPr>
        <xdr:cNvPr id="8" name="TextBox 7">
          <a:extLst>
            <a:ext uri="{FF2B5EF4-FFF2-40B4-BE49-F238E27FC236}">
              <a16:creationId xmlns:a16="http://schemas.microsoft.com/office/drawing/2014/main" id="{2C9F0C8D-92C2-46F1-B7F3-D4C04161EA54}"/>
            </a:ext>
          </a:extLst>
        </xdr:cNvPr>
        <xdr:cNvSpPr txBox="1"/>
      </xdr:nvSpPr>
      <xdr:spPr>
        <a:xfrm>
          <a:off x="7340600" y="17919700"/>
          <a:ext cx="5199063" cy="571500"/>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If</a:t>
          </a:r>
          <a:r>
            <a:rPr lang="en-US" sz="1100" baseline="0"/>
            <a:t> soil sampling and test costs are part of the nutrient management plan costs, or part of </a:t>
          </a:r>
        </a:p>
        <a:p>
          <a:r>
            <a:rPr lang="en-US" sz="1100" baseline="0"/>
            <a:t>crop scouting service, make sure to only enter them in once at the location of your choice.</a:t>
          </a:r>
          <a:endParaRPr lang="en-US" sz="1100"/>
        </a:p>
      </xdr:txBody>
    </xdr:sp>
    <xdr:clientData/>
  </xdr:oneCellAnchor>
  <xdr:twoCellAnchor>
    <xdr:from>
      <xdr:col>6</xdr:col>
      <xdr:colOff>865187</xdr:colOff>
      <xdr:row>173</xdr:row>
      <xdr:rowOff>111125</xdr:rowOff>
    </xdr:from>
    <xdr:to>
      <xdr:col>17</xdr:col>
      <xdr:colOff>293687</xdr:colOff>
      <xdr:row>176</xdr:row>
      <xdr:rowOff>134937</xdr:rowOff>
    </xdr:to>
    <xdr:sp macro="" textlink="">
      <xdr:nvSpPr>
        <xdr:cNvPr id="9" name="TextBox 8">
          <a:extLst>
            <a:ext uri="{FF2B5EF4-FFF2-40B4-BE49-F238E27FC236}">
              <a16:creationId xmlns:a16="http://schemas.microsoft.com/office/drawing/2014/main" id="{49958D5D-9A44-44FA-95B5-D93ED8D741E3}"/>
            </a:ext>
          </a:extLst>
        </xdr:cNvPr>
        <xdr:cNvSpPr txBox="1"/>
      </xdr:nvSpPr>
      <xdr:spPr>
        <a:xfrm>
          <a:off x="7246937" y="28695650"/>
          <a:ext cx="6134100" cy="509587"/>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hauling section prorates a full load of what ever size turck is used to a per acre cost based on total yield  enter above.</a:t>
          </a:r>
          <a:endParaRPr lang="en-US" sz="1100"/>
        </a:p>
      </xdr:txBody>
    </xdr:sp>
    <xdr:clientData/>
  </xdr:twoCellAnchor>
  <xdr:twoCellAnchor>
    <xdr:from>
      <xdr:col>6</xdr:col>
      <xdr:colOff>857251</xdr:colOff>
      <xdr:row>177</xdr:row>
      <xdr:rowOff>155865</xdr:rowOff>
    </xdr:from>
    <xdr:to>
      <xdr:col>17</xdr:col>
      <xdr:colOff>381000</xdr:colOff>
      <xdr:row>179</xdr:row>
      <xdr:rowOff>95250</xdr:rowOff>
    </xdr:to>
    <xdr:sp macro="" textlink="">
      <xdr:nvSpPr>
        <xdr:cNvPr id="10" name="TextBox 9">
          <a:extLst>
            <a:ext uri="{FF2B5EF4-FFF2-40B4-BE49-F238E27FC236}">
              <a16:creationId xmlns:a16="http://schemas.microsoft.com/office/drawing/2014/main" id="{0F3E8B69-399A-40CB-A42D-1D9E82D48B3F}"/>
            </a:ext>
          </a:extLst>
        </xdr:cNvPr>
        <xdr:cNvSpPr txBox="1"/>
      </xdr:nvSpPr>
      <xdr:spPr>
        <a:xfrm>
          <a:off x="7239001" y="29388090"/>
          <a:ext cx="6229349" cy="263235"/>
        </a:xfrm>
        <a:prstGeom prst="rect">
          <a:avLst/>
        </a:prstGeom>
        <a:solidFill>
          <a:srgbClr val="F0F0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Bags and covers price per acre</a:t>
          </a:r>
          <a:r>
            <a:rPr lang="en-US" sz="1100" baseline="0"/>
            <a:t> pro-rate the expense based on yield entered at the top</a:t>
          </a:r>
          <a:endParaRPr lang="en-US" sz="1100"/>
        </a:p>
      </xdr:txBody>
    </xdr:sp>
    <xdr:clientData/>
  </xdr:twoCellAnchor>
  <xdr:twoCellAnchor>
    <xdr:from>
      <xdr:col>7</xdr:col>
      <xdr:colOff>0</xdr:colOff>
      <xdr:row>149</xdr:row>
      <xdr:rowOff>19050</xdr:rowOff>
    </xdr:from>
    <xdr:to>
      <xdr:col>20</xdr:col>
      <xdr:colOff>38100</xdr:colOff>
      <xdr:row>170</xdr:row>
      <xdr:rowOff>142875</xdr:rowOff>
    </xdr:to>
    <xdr:sp macro="" textlink="">
      <xdr:nvSpPr>
        <xdr:cNvPr id="11" name="TextBox 10">
          <a:extLst>
            <a:ext uri="{FF2B5EF4-FFF2-40B4-BE49-F238E27FC236}">
              <a16:creationId xmlns:a16="http://schemas.microsoft.com/office/drawing/2014/main" id="{B4EB51C6-AA80-436B-A0B2-8F5E2F89805F}"/>
            </a:ext>
          </a:extLst>
        </xdr:cNvPr>
        <xdr:cNvSpPr txBox="1"/>
      </xdr:nvSpPr>
      <xdr:spPr>
        <a:xfrm>
          <a:off x="7277100" y="24717375"/>
          <a:ext cx="7534275" cy="3524250"/>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budget</a:t>
          </a:r>
          <a:r>
            <a:rPr lang="en-US" sz="1100" baseline="0"/>
            <a:t> tool is set up to allow entry of harvest costs on per acre, per hour, per bale and per ton basis due to the many ways that these costs may be known or billed for.  </a:t>
          </a:r>
        </a:p>
        <a:p>
          <a:endParaRPr lang="en-US" sz="1100" baseline="0"/>
        </a:p>
        <a:p>
          <a:r>
            <a:rPr lang="en-US" sz="1100" baseline="0"/>
            <a:t>It is neccessary to use careful consideration to accurately account for the harvest costs without missing or double counting expenses by unintetionally entering the cost in more than one place.  Some operations may be used on some cuttings, but not all cuttings.  For example in a 3 cutting example, two of the cuttings may be chopped and a third cutting made into big bale silage. </a:t>
          </a:r>
        </a:p>
        <a:p>
          <a:r>
            <a:rPr lang="en-US" sz="1100" baseline="0"/>
            <a:t>When entering it will be nessessary to privide a reasonable estimate on the number of bales per acre per year and number of tons per acre per year because multiple harvesting methods could be used, such as in the example given earlier in this paragraph.</a:t>
          </a:r>
        </a:p>
        <a:p>
          <a:endParaRPr lang="en-US" sz="1100" baseline="0"/>
        </a:p>
        <a:p>
          <a:r>
            <a:rPr lang="en-US" sz="1100" baseline="0"/>
            <a:t>To assist with the estimate the following table shows a percentage of total annual yield by cutting.</a:t>
          </a:r>
        </a:p>
        <a:p>
          <a:endParaRPr lang="en-US" sz="1100" baseline="0"/>
        </a:p>
        <a:p>
          <a:r>
            <a:rPr lang="en-US" sz="1100" u="sng" baseline="0"/>
            <a:t>cutting	3 cuttings	4 cuttings</a:t>
          </a:r>
        </a:p>
        <a:p>
          <a:r>
            <a:rPr lang="en-US" sz="1100" u="none" baseline="0"/>
            <a:t>1st	40%	35%</a:t>
          </a:r>
        </a:p>
        <a:p>
          <a:r>
            <a:rPr lang="en-US" sz="1100" u="none" baseline="0"/>
            <a:t>2nd	30%	25%</a:t>
          </a:r>
        </a:p>
        <a:p>
          <a:r>
            <a:rPr lang="en-US" sz="1100" u="none" baseline="0"/>
            <a:t>3rd	30%	20%</a:t>
          </a:r>
        </a:p>
        <a:p>
          <a:r>
            <a:rPr lang="en-US" sz="1100" u="none" baseline="0"/>
            <a:t>4th		20%</a:t>
          </a:r>
        </a:p>
      </xdr:txBody>
    </xdr:sp>
    <xdr:clientData/>
  </xdr:twoCellAnchor>
  <xdr:twoCellAnchor>
    <xdr:from>
      <xdr:col>7</xdr:col>
      <xdr:colOff>19050</xdr:colOff>
      <xdr:row>196</xdr:row>
      <xdr:rowOff>85725</xdr:rowOff>
    </xdr:from>
    <xdr:to>
      <xdr:col>18</xdr:col>
      <xdr:colOff>114300</xdr:colOff>
      <xdr:row>199</xdr:row>
      <xdr:rowOff>38100</xdr:rowOff>
    </xdr:to>
    <xdr:sp macro="" textlink="">
      <xdr:nvSpPr>
        <xdr:cNvPr id="12" name="TextBox 11">
          <a:extLst>
            <a:ext uri="{FF2B5EF4-FFF2-40B4-BE49-F238E27FC236}">
              <a16:creationId xmlns:a16="http://schemas.microsoft.com/office/drawing/2014/main" id="{3605D921-920D-47AD-B350-01D971841324}"/>
            </a:ext>
          </a:extLst>
        </xdr:cNvPr>
        <xdr:cNvSpPr txBox="1"/>
      </xdr:nvSpPr>
      <xdr:spPr>
        <a:xfrm>
          <a:off x="7296150" y="32394525"/>
          <a:ext cx="6467475" cy="457200"/>
        </a:xfrm>
        <a:prstGeom prst="rect">
          <a:avLst/>
        </a:prstGeom>
        <a:solidFill>
          <a:srgbClr val="F0F0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Breakevens</a:t>
          </a:r>
          <a:r>
            <a:rPr lang="en-US" sz="1100" baseline="0"/>
            <a:t> are calculated on total tons for forage harvested per acre including nurse crop forage if a yield is entered.</a:t>
          </a:r>
          <a:endParaRPr lang="en-US" sz="1100"/>
        </a:p>
      </xdr:txBody>
    </xdr:sp>
    <xdr:clientData/>
  </xdr:twoCellAnchor>
  <xdr:twoCellAnchor>
    <xdr:from>
      <xdr:col>7</xdr:col>
      <xdr:colOff>0</xdr:colOff>
      <xdr:row>18</xdr:row>
      <xdr:rowOff>0</xdr:rowOff>
    </xdr:from>
    <xdr:to>
      <xdr:col>15</xdr:col>
      <xdr:colOff>403225</xdr:colOff>
      <xdr:row>22</xdr:row>
      <xdr:rowOff>47625</xdr:rowOff>
    </xdr:to>
    <xdr:sp macro="" textlink="">
      <xdr:nvSpPr>
        <xdr:cNvPr id="13" name="TextBox 12">
          <a:extLst>
            <a:ext uri="{FF2B5EF4-FFF2-40B4-BE49-F238E27FC236}">
              <a16:creationId xmlns:a16="http://schemas.microsoft.com/office/drawing/2014/main" id="{60EA704E-85E8-4CAE-B38C-A50322DAB7E5}"/>
            </a:ext>
          </a:extLst>
        </xdr:cNvPr>
        <xdr:cNvSpPr txBox="1"/>
      </xdr:nvSpPr>
      <xdr:spPr>
        <a:xfrm>
          <a:off x="7277100" y="2914650"/>
          <a:ext cx="5089525" cy="714375"/>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This</a:t>
          </a:r>
          <a:r>
            <a:rPr lang="en-US" sz="1000" baseline="0">
              <a:latin typeface="Arial" panose="020B0604020202020204" pitchFamily="34" charset="0"/>
              <a:cs typeface="Arial" panose="020B0604020202020204" pitchFamily="34" charset="0"/>
            </a:rPr>
            <a:t> enterprise budget has example revenue and expense numbers in it.  Users need to put thire own revenue and expenses into the spreadsheet.  All blue cells are set up for the user to enter in their own information.</a:t>
          </a:r>
          <a:endParaRPr lang="en-US" sz="1000">
            <a:latin typeface="Arial" panose="020B0604020202020204" pitchFamily="34" charset="0"/>
            <a:cs typeface="Arial" panose="020B0604020202020204" pitchFamily="34" charset="0"/>
          </a:endParaRPr>
        </a:p>
      </xdr:txBody>
    </xdr:sp>
    <xdr:clientData/>
  </xdr:twoCellAnchor>
  <xdr:oneCellAnchor>
    <xdr:from>
      <xdr:col>7</xdr:col>
      <xdr:colOff>47625</xdr:colOff>
      <xdr:row>200</xdr:row>
      <xdr:rowOff>123825</xdr:rowOff>
    </xdr:from>
    <xdr:ext cx="7277313" cy="264560"/>
    <xdr:sp macro="" textlink="">
      <xdr:nvSpPr>
        <xdr:cNvPr id="14" name="TextBox 13">
          <a:extLst>
            <a:ext uri="{FF2B5EF4-FFF2-40B4-BE49-F238E27FC236}">
              <a16:creationId xmlns:a16="http://schemas.microsoft.com/office/drawing/2014/main" id="{6C3B2350-9D00-4BB7-BB34-E3E31C753817}"/>
            </a:ext>
          </a:extLst>
        </xdr:cNvPr>
        <xdr:cNvSpPr txBox="1"/>
      </xdr:nvSpPr>
      <xdr:spPr>
        <a:xfrm>
          <a:off x="7324725" y="33099375"/>
          <a:ext cx="7277313" cy="264560"/>
        </a:xfrm>
        <a:prstGeom prst="rect">
          <a:avLst/>
        </a:prstGeom>
        <a:solidFill>
          <a:srgbClr val="F0F090"/>
        </a:solidFill>
        <a:ln>
          <a:solidFill>
            <a:schemeClr val="lt1">
              <a:shade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Sensitivity analysis is for primary forage yield and price only.  Nurse</a:t>
          </a:r>
          <a:r>
            <a:rPr lang="en-US" sz="1100" baseline="0"/>
            <a:t> crop value is held constant to what is entered at the top.</a:t>
          </a:r>
          <a:endParaRPr lang="en-US" sz="1100"/>
        </a:p>
      </xdr:txBody>
    </xdr:sp>
    <xdr:clientData/>
  </xdr:oneCellAnchor>
</xdr:wsDr>
</file>

<file path=xl/drawings/drawing15.xml><?xml version="1.0" encoding="utf-8"?>
<xdr:wsDr xmlns:xdr="http://schemas.openxmlformats.org/drawingml/2006/spreadsheetDrawing" xmlns:a="http://schemas.openxmlformats.org/drawingml/2006/main">
  <xdr:twoCellAnchor editAs="oneCell">
    <xdr:from>
      <xdr:col>0</xdr:col>
      <xdr:colOff>91167</xdr:colOff>
      <xdr:row>0</xdr:row>
      <xdr:rowOff>34018</xdr:rowOff>
    </xdr:from>
    <xdr:to>
      <xdr:col>2</xdr:col>
      <xdr:colOff>430770</xdr:colOff>
      <xdr:row>4</xdr:row>
      <xdr:rowOff>1208</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67" y="34018"/>
          <a:ext cx="3395223" cy="553930"/>
        </a:xfrm>
        <a:prstGeom prst="rect">
          <a:avLst/>
        </a:prstGeom>
      </xdr:spPr>
    </xdr:pic>
    <xdr:clientData/>
  </xdr:twoCellAnchor>
  <xdr:oneCellAnchor>
    <xdr:from>
      <xdr:col>7</xdr:col>
      <xdr:colOff>19050</xdr:colOff>
      <xdr:row>24</xdr:row>
      <xdr:rowOff>19046</xdr:rowOff>
    </xdr:from>
    <xdr:ext cx="5143500" cy="5962653"/>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7509510" y="3981446"/>
          <a:ext cx="5143500" cy="5962653"/>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section is for determining costs, it is not a nutrient management planning tool.</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Some fertilizer input options in the budget will not be utilized for some crops.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Cost Calculator tab is a separate sheet that is set up to provide the user tools to easily calculate nutrient costs per pound of nutrient, or cost per acre of product for fertilizer additives.</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input section is set up with two options.  This is to try to make entry as simple as possible for users.  When entering fertilizer inputs, only enter them in one of the two sections so you do not double count them.</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first section is set up to calculate the cost based on the total pounds or gallons of each fertilizer product applied that is entered along with the corresponding price.  These fertilizer materials are often materials that are providing multiple nutrients with that product, like starters or blends such as 9-23-30.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second section is set up to calculate cost based on the pounds of actual nutrient applied per acre for the three primary nutrients.  In this section the pounds of actual nutrient are entered along with a price per lb. of nutrient.  The Fertilizer Cost Calculator tab is set up to calculate cost per lb. of nutrient.  There is a section of the Phosphorus cost/ lb. of nutrient calculator to help determine the cost of nitrogen that is a component of some common phosphorus fertilizer sources in the Fertilizer Cost Tab.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Use the N cost calculator in the P fertilizer section, (cell I47), on the Fertilizer Cost Calculator sheet to determine the cost for cell E39 on this page.</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manure line should be used to account for the cost of any purchased manure inputs and it's application.  Application of on farm produced manure should be accounted for in pre-harvest field operation costs.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Other fertilizer line can be used for micronutrients, or a combination of inputs not accounted for in the other fertilizer expense categories in the budget.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Include Custom hired Fertilizer Application Costs if it is not already included in the cost of the fertilizer entered in other locations in the budget sheet.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There is a soil test cost calculator on the Fertilizer Cost Calculator Sheet.</a:t>
          </a:r>
        </a:p>
        <a:p>
          <a:endParaRPr lang="en-US" sz="1000" baseline="0">
            <a:latin typeface="Arial" panose="020B0604020202020204" pitchFamily="34" charset="0"/>
            <a:cs typeface="Arial" panose="020B0604020202020204" pitchFamily="34" charset="0"/>
          </a:endParaRPr>
        </a:p>
      </xdr:txBody>
    </xdr:sp>
    <xdr:clientData/>
  </xdr:oneCellAnchor>
  <xdr:twoCellAnchor>
    <xdr:from>
      <xdr:col>7</xdr:col>
      <xdr:colOff>38099</xdr:colOff>
      <xdr:row>64</xdr:row>
      <xdr:rowOff>9525</xdr:rowOff>
    </xdr:from>
    <xdr:to>
      <xdr:col>16</xdr:col>
      <xdr:colOff>266700</xdr:colOff>
      <xdr:row>66</xdr:row>
      <xdr:rowOff>157163</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528559" y="10860405"/>
          <a:ext cx="5631181" cy="482918"/>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This is an annual forage crop budget and all seed costs are credited</a:t>
          </a:r>
          <a:r>
            <a:rPr lang="en-US" sz="1100" b="1" baseline="0"/>
            <a:t> to this crop budget.</a:t>
          </a:r>
          <a:endParaRPr lang="en-US" sz="1100" b="1"/>
        </a:p>
      </xdr:txBody>
    </xdr:sp>
    <xdr:clientData/>
  </xdr:twoCellAnchor>
  <xdr:oneCellAnchor>
    <xdr:from>
      <xdr:col>15</xdr:col>
      <xdr:colOff>542925</xdr:colOff>
      <xdr:row>55</xdr:row>
      <xdr:rowOff>19050</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12856845" y="9361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28575</xdr:colOff>
      <xdr:row>74</xdr:row>
      <xdr:rowOff>0</xdr:rowOff>
    </xdr:from>
    <xdr:to>
      <xdr:col>16</xdr:col>
      <xdr:colOff>333375</xdr:colOff>
      <xdr:row>93</xdr:row>
      <xdr:rowOff>23812</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7519035" y="12527280"/>
          <a:ext cx="5707380" cy="3208972"/>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Pest control inputs are separated into pesticide</a:t>
          </a:r>
          <a:r>
            <a:rPr lang="en-US" sz="1100" baseline="0"/>
            <a:t> costs and the application costs. </a:t>
          </a:r>
        </a:p>
        <a:p>
          <a:endParaRPr lang="en-US" sz="1100" baseline="0"/>
        </a:p>
        <a:p>
          <a:r>
            <a:rPr lang="en-US" sz="1100" b="1" baseline="0"/>
            <a:t>There are multiple lines for several pest control applications because some years may require additional passes depending on pest pressure. Be sure you are scouting the crops and using IPM determined thresholds to determine if applications are necessary.  When using these to project costs, include your average number of applications from past years.</a:t>
          </a:r>
        </a:p>
        <a:p>
          <a:endParaRPr lang="en-US" sz="1100" b="1" baseline="0"/>
        </a:p>
        <a:p>
          <a:r>
            <a:rPr lang="en-US" sz="1100" baseline="0"/>
            <a:t>Use caution not to double count costs, some examples are:</a:t>
          </a:r>
        </a:p>
        <a:p>
          <a:endParaRPr lang="en-US" sz="1100" baseline="0"/>
        </a:p>
        <a:p>
          <a:r>
            <a:rPr lang="en-US" sz="1100" baseline="0"/>
            <a:t>Seed treatment, for example, the application cost may be covered by the planting cost which is in a separate section, and the seed treatment cost it's self may be in the seed cost.</a:t>
          </a:r>
        </a:p>
        <a:p>
          <a:endParaRPr lang="en-US" sz="1100" baseline="0"/>
        </a:p>
        <a:p>
          <a:r>
            <a:rPr lang="en-US" sz="1100" baseline="0"/>
            <a:t>Some products, like foliar insecticide could be tank mixed with an herbicide application depending on timing of need and application cost should only be included once.</a:t>
          </a:r>
        </a:p>
        <a:p>
          <a:endParaRPr lang="en-US" sz="1100" baseline="0"/>
        </a:p>
        <a:p>
          <a:r>
            <a:rPr lang="en-US" sz="1100" baseline="0"/>
            <a:t>*Include application costs here whether you apply your own or hire it done. </a:t>
          </a:r>
          <a:endParaRPr lang="en-US" sz="1100"/>
        </a:p>
      </xdr:txBody>
    </xdr:sp>
    <xdr:clientData/>
  </xdr:twoCellAnchor>
  <xdr:twoCellAnchor>
    <xdr:from>
      <xdr:col>7</xdr:col>
      <xdr:colOff>28574</xdr:colOff>
      <xdr:row>119</xdr:row>
      <xdr:rowOff>19051</xdr:rowOff>
    </xdr:from>
    <xdr:to>
      <xdr:col>20</xdr:col>
      <xdr:colOff>19049</xdr:colOff>
      <xdr:row>128</xdr:row>
      <xdr:rowOff>19051</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7519034" y="20135851"/>
          <a:ext cx="7709535" cy="1516380"/>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budget is set up so that Preharvest and Harvest Operations include fuel, repairs, machine storage, insurance on machinery, labor, and depreciation.  Following are links to resources to help determine these costs.  The spreadsheet resources from Iowa State and Minnesota will help estimate these costs closer to user’s actual costs than average values in fact sheets and custom rate guides.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Machinery operation cost fact sheet estimates often use assumptions of annual acres of use that may not be close to users of this budget so their estimates may not accurately represent user’s actual costs.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Click on the left end cell of the links to the resources below to go to those web pages.</a:t>
          </a:r>
        </a:p>
        <a:p>
          <a:endParaRPr lang="en-US" sz="1100"/>
        </a:p>
      </xdr:txBody>
    </xdr:sp>
    <xdr:clientData/>
  </xdr:twoCellAnchor>
  <xdr:oneCellAnchor>
    <xdr:from>
      <xdr:col>7</xdr:col>
      <xdr:colOff>63500</xdr:colOff>
      <xdr:row>107</xdr:row>
      <xdr:rowOff>127000</xdr:rowOff>
    </xdr:from>
    <xdr:ext cx="5199063" cy="571500"/>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7553960" y="18201640"/>
          <a:ext cx="5199063" cy="571500"/>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If</a:t>
          </a:r>
          <a:r>
            <a:rPr lang="en-US" sz="1100" baseline="0"/>
            <a:t> soil sampling and test costs are part of the nutrient management plan costs, or part of </a:t>
          </a:r>
        </a:p>
        <a:p>
          <a:r>
            <a:rPr lang="en-US" sz="1100" baseline="0"/>
            <a:t>crop scouting service, make sure to only enter them in once at the location of your choice.</a:t>
          </a:r>
          <a:endParaRPr lang="en-US" sz="1100"/>
        </a:p>
      </xdr:txBody>
    </xdr:sp>
    <xdr:clientData/>
  </xdr:oneCellAnchor>
  <xdr:twoCellAnchor>
    <xdr:from>
      <xdr:col>6</xdr:col>
      <xdr:colOff>865187</xdr:colOff>
      <xdr:row>173</xdr:row>
      <xdr:rowOff>111125</xdr:rowOff>
    </xdr:from>
    <xdr:to>
      <xdr:col>17</xdr:col>
      <xdr:colOff>293687</xdr:colOff>
      <xdr:row>176</xdr:row>
      <xdr:rowOff>134937</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7433627" y="28929965"/>
          <a:ext cx="6332220" cy="503872"/>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hauling section prorates a full load of what ever size turck is used to a per acre cost based on total yield  enter above.</a:t>
          </a:r>
          <a:endParaRPr lang="en-US" sz="1100"/>
        </a:p>
      </xdr:txBody>
    </xdr:sp>
    <xdr:clientData/>
  </xdr:twoCellAnchor>
  <xdr:twoCellAnchor>
    <xdr:from>
      <xdr:col>6</xdr:col>
      <xdr:colOff>857251</xdr:colOff>
      <xdr:row>177</xdr:row>
      <xdr:rowOff>155865</xdr:rowOff>
    </xdr:from>
    <xdr:to>
      <xdr:col>17</xdr:col>
      <xdr:colOff>381000</xdr:colOff>
      <xdr:row>179</xdr:row>
      <xdr:rowOff>95250</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7425691" y="29614785"/>
          <a:ext cx="6427469" cy="259425"/>
        </a:xfrm>
        <a:prstGeom prst="rect">
          <a:avLst/>
        </a:prstGeom>
        <a:solidFill>
          <a:srgbClr val="F0F0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Bags and covers price per acre</a:t>
          </a:r>
          <a:r>
            <a:rPr lang="en-US" sz="1100" baseline="0"/>
            <a:t> pro-rate the expense based on yield entered at the top</a:t>
          </a:r>
          <a:endParaRPr lang="en-US" sz="1100"/>
        </a:p>
      </xdr:txBody>
    </xdr:sp>
    <xdr:clientData/>
  </xdr:twoCellAnchor>
  <xdr:twoCellAnchor>
    <xdr:from>
      <xdr:col>7</xdr:col>
      <xdr:colOff>0</xdr:colOff>
      <xdr:row>149</xdr:row>
      <xdr:rowOff>19050</xdr:rowOff>
    </xdr:from>
    <xdr:to>
      <xdr:col>20</xdr:col>
      <xdr:colOff>38100</xdr:colOff>
      <xdr:row>170</xdr:row>
      <xdr:rowOff>142875</xdr:rowOff>
    </xdr:to>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7490460" y="24997410"/>
          <a:ext cx="7757160" cy="3484245"/>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budget</a:t>
          </a:r>
          <a:r>
            <a:rPr lang="en-US" sz="1100" baseline="0"/>
            <a:t> tool is set up to allow entry of harvest costs on per acre, per hour, per bale and per ton basis due to the many ways that these costs may be known or billed for.  </a:t>
          </a:r>
        </a:p>
        <a:p>
          <a:endParaRPr lang="en-US" sz="1100" baseline="0"/>
        </a:p>
        <a:p>
          <a:r>
            <a:rPr lang="en-US" sz="1100" baseline="0"/>
            <a:t>It is neccessary to use careful consideration to accurately account for the harvest costs without missing or double counting expenses by unintetionally entering the cost in more than one place.  Some operations may be used on some cuttings, but not all cuttings.  For example in a 3 cutting example, two of the cuttings may be chopped and a third cutting made into big bale silage. </a:t>
          </a:r>
        </a:p>
        <a:p>
          <a:r>
            <a:rPr lang="en-US" sz="1100" baseline="0"/>
            <a:t>When entering it will be nessessary to privide a reasonable estimate on the number of bales per acre per year and number of tons per acre per year because multiple harvesting methods could be used, such as in the example given earlier in this paragraph.</a:t>
          </a:r>
        </a:p>
        <a:p>
          <a:endParaRPr lang="en-US" sz="1100" baseline="0"/>
        </a:p>
        <a:p>
          <a:r>
            <a:rPr lang="en-US" sz="1100" baseline="0"/>
            <a:t>To assist with the estimate the following table shows a percentage of total annual yield by cutting.</a:t>
          </a:r>
        </a:p>
        <a:p>
          <a:endParaRPr lang="en-US" sz="1100" baseline="0"/>
        </a:p>
        <a:p>
          <a:r>
            <a:rPr lang="en-US" sz="1100" u="sng" baseline="0"/>
            <a:t>cutting	3 cuttings	4 cuttings</a:t>
          </a:r>
        </a:p>
        <a:p>
          <a:r>
            <a:rPr lang="en-US" sz="1100" u="none" baseline="0"/>
            <a:t>1st	40%	35%</a:t>
          </a:r>
        </a:p>
        <a:p>
          <a:r>
            <a:rPr lang="en-US" sz="1100" u="none" baseline="0"/>
            <a:t>2nd	30%	25%</a:t>
          </a:r>
        </a:p>
        <a:p>
          <a:r>
            <a:rPr lang="en-US" sz="1100" u="none" baseline="0"/>
            <a:t>3rd	30%	20%</a:t>
          </a:r>
        </a:p>
        <a:p>
          <a:r>
            <a:rPr lang="en-US" sz="1100" u="none" baseline="0"/>
            <a:t>4th		20%</a:t>
          </a:r>
        </a:p>
      </xdr:txBody>
    </xdr:sp>
    <xdr:clientData/>
  </xdr:twoCellAnchor>
  <xdr:twoCellAnchor>
    <xdr:from>
      <xdr:col>7</xdr:col>
      <xdr:colOff>19050</xdr:colOff>
      <xdr:row>196</xdr:row>
      <xdr:rowOff>85725</xdr:rowOff>
    </xdr:from>
    <xdr:to>
      <xdr:col>18</xdr:col>
      <xdr:colOff>114300</xdr:colOff>
      <xdr:row>199</xdr:row>
      <xdr:rowOff>38100</xdr:rowOff>
    </xdr:to>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7509510" y="32585025"/>
          <a:ext cx="6656070" cy="462915"/>
        </a:xfrm>
        <a:prstGeom prst="rect">
          <a:avLst/>
        </a:prstGeom>
        <a:solidFill>
          <a:srgbClr val="F0F0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Breakevens</a:t>
          </a:r>
          <a:r>
            <a:rPr lang="en-US" sz="1100" baseline="0"/>
            <a:t> are calculated on total tons for forage harvested per acre including nurse crop forage if a yield is entered.</a:t>
          </a:r>
          <a:endParaRPr lang="en-US" sz="1100"/>
        </a:p>
      </xdr:txBody>
    </xdr:sp>
    <xdr:clientData/>
  </xdr:twoCellAnchor>
  <xdr:twoCellAnchor>
    <xdr:from>
      <xdr:col>7</xdr:col>
      <xdr:colOff>0</xdr:colOff>
      <xdr:row>18</xdr:row>
      <xdr:rowOff>0</xdr:rowOff>
    </xdr:from>
    <xdr:to>
      <xdr:col>15</xdr:col>
      <xdr:colOff>403225</xdr:colOff>
      <xdr:row>22</xdr:row>
      <xdr:rowOff>47625</xdr:rowOff>
    </xdr:to>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7490460" y="2948940"/>
          <a:ext cx="5226685" cy="725805"/>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This</a:t>
          </a:r>
          <a:r>
            <a:rPr lang="en-US" sz="1000" baseline="0">
              <a:latin typeface="Arial" panose="020B0604020202020204" pitchFamily="34" charset="0"/>
              <a:cs typeface="Arial" panose="020B0604020202020204" pitchFamily="34" charset="0"/>
            </a:rPr>
            <a:t> enterprise budget has example revenue and expense numbers in it.  Users need to put thire own revenue and expenses into the spreadsheet.  All blue cells are set up for the user to enter in their own information.</a:t>
          </a:r>
          <a:endParaRPr lang="en-US" sz="1000">
            <a:latin typeface="Arial" panose="020B0604020202020204" pitchFamily="34" charset="0"/>
            <a:cs typeface="Arial" panose="020B0604020202020204" pitchFamily="34" charset="0"/>
          </a:endParaRPr>
        </a:p>
      </xdr:txBody>
    </xdr:sp>
    <xdr:clientData/>
  </xdr:twoCellAnchor>
  <xdr:oneCellAnchor>
    <xdr:from>
      <xdr:col>7</xdr:col>
      <xdr:colOff>47625</xdr:colOff>
      <xdr:row>200</xdr:row>
      <xdr:rowOff>123825</xdr:rowOff>
    </xdr:from>
    <xdr:ext cx="7277313" cy="264560"/>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7538085" y="33301305"/>
          <a:ext cx="7277313" cy="264560"/>
        </a:xfrm>
        <a:prstGeom prst="rect">
          <a:avLst/>
        </a:prstGeom>
        <a:solidFill>
          <a:srgbClr val="F0F090"/>
        </a:solidFill>
        <a:ln>
          <a:solidFill>
            <a:schemeClr val="lt1">
              <a:shade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Sensitivity analysis is for primary forage yield and price only.  Nurse</a:t>
          </a:r>
          <a:r>
            <a:rPr lang="en-US" sz="1100" baseline="0"/>
            <a:t> crop value is held constant to what is entered at the top.</a:t>
          </a: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812063</xdr:colOff>
      <xdr:row>4</xdr:row>
      <xdr:rowOff>117781</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609600" y="161925"/>
          <a:ext cx="3950550" cy="603556"/>
        </a:xfrm>
        <a:prstGeom prst="rect">
          <a:avLst/>
        </a:prstGeom>
      </xdr:spPr>
    </xdr:pic>
    <xdr:clientData/>
  </xdr:twoCellAnchor>
  <xdr:twoCellAnchor>
    <xdr:from>
      <xdr:col>9</xdr:col>
      <xdr:colOff>47625</xdr:colOff>
      <xdr:row>10</xdr:row>
      <xdr:rowOff>60324</xdr:rowOff>
    </xdr:from>
    <xdr:to>
      <xdr:col>16</xdr:col>
      <xdr:colOff>76200</xdr:colOff>
      <xdr:row>26</xdr:row>
      <xdr:rowOff>34636</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931602" y="1766165"/>
          <a:ext cx="4271530" cy="2606676"/>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spreadsheet is for determining various fertilizer</a:t>
          </a:r>
          <a:r>
            <a:rPr lang="en-US" sz="1100" baseline="0"/>
            <a:t> costs for use in the crop enterprise budgets.  It is not a nutrient management plan tool for determining the quantity of different nutrients to apply.  </a:t>
          </a:r>
        </a:p>
        <a:p>
          <a:endParaRPr lang="en-US" sz="1100" baseline="0"/>
        </a:p>
        <a:p>
          <a:r>
            <a:rPr lang="en-US" sz="1100" baseline="0"/>
            <a:t>Users should enter their specific information into the blue cells and the values in the pink cells are calculated for them.  This information can then be entered into the various crop enterprise budgets for completing the fertilizer input costs sections.</a:t>
          </a:r>
        </a:p>
        <a:p>
          <a:endParaRPr lang="en-US" sz="1100" baseline="0"/>
        </a:p>
        <a:p>
          <a:r>
            <a:rPr lang="en-US" sz="1100" baseline="0"/>
            <a:t>The section at the bottom is designed to assist users calculate an annual soil testing cost and nutrient management plan cost per acre per year.</a:t>
          </a:r>
        </a:p>
        <a:p>
          <a:endParaRPr lang="en-US" sz="1100" baseline="0"/>
        </a:p>
        <a:p>
          <a:r>
            <a:rPr lang="en-US" sz="1100" baseline="0"/>
            <a:t>For assistance determining nutrient rates see the resource below:</a:t>
          </a:r>
          <a:endParaRPr lang="en-US" sz="1100"/>
        </a:p>
      </xdr:txBody>
    </xdr:sp>
    <xdr:clientData/>
  </xdr:twoCellAnchor>
  <xdr:twoCellAnchor>
    <xdr:from>
      <xdr:col>11</xdr:col>
      <xdr:colOff>254000</xdr:colOff>
      <xdr:row>38</xdr:row>
      <xdr:rowOff>222251</xdr:rowOff>
    </xdr:from>
    <xdr:to>
      <xdr:col>16</xdr:col>
      <xdr:colOff>246063</xdr:colOff>
      <xdr:row>44</xdr:row>
      <xdr:rowOff>55563</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7961313" y="6969126"/>
          <a:ext cx="3048000" cy="960437"/>
        </a:xfrm>
        <a:prstGeom prst="rect">
          <a:avLst/>
        </a:prstGeom>
        <a:solidFill>
          <a:srgbClr val="F0F0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Nitrogen from nitrogen</a:t>
          </a:r>
          <a:r>
            <a:rPr lang="en-US" sz="1100" baseline="0"/>
            <a:t> containing phosphous fertilizers should be counted in both cost and amount of N applied.</a:t>
          </a:r>
          <a:endParaRPr lang="en-US" sz="1100"/>
        </a:p>
      </xdr:txBody>
    </xdr:sp>
    <xdr:clientData/>
  </xdr:twoCellAnchor>
  <xdr:oneCellAnchor>
    <xdr:from>
      <xdr:col>1</xdr:col>
      <xdr:colOff>47626</xdr:colOff>
      <xdr:row>11</xdr:row>
      <xdr:rowOff>95249</xdr:rowOff>
    </xdr:from>
    <xdr:ext cx="4663136"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254001" y="1912937"/>
          <a:ext cx="4663136" cy="264560"/>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Entering</a:t>
          </a:r>
          <a:r>
            <a:rPr lang="en-US" sz="1100" baseline="0"/>
            <a:t> fertilizer on a per pound of product basis is done in the crop budgets.</a:t>
          </a:r>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91167</xdr:colOff>
      <xdr:row>0</xdr:row>
      <xdr:rowOff>34018</xdr:rowOff>
    </xdr:from>
    <xdr:to>
      <xdr:col>3</xdr:col>
      <xdr:colOff>397432</xdr:colOff>
      <xdr:row>4</xdr:row>
      <xdr:rowOff>29783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67" y="34018"/>
          <a:ext cx="3941989" cy="587676"/>
        </a:xfrm>
        <a:prstGeom prst="rect">
          <a:avLst/>
        </a:prstGeom>
      </xdr:spPr>
    </xdr:pic>
    <xdr:clientData/>
  </xdr:twoCellAnchor>
  <xdr:oneCellAnchor>
    <xdr:from>
      <xdr:col>7</xdr:col>
      <xdr:colOff>57150</xdr:colOff>
      <xdr:row>17</xdr:row>
      <xdr:rowOff>19046</xdr:rowOff>
    </xdr:from>
    <xdr:ext cx="5143500" cy="5705480"/>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6800850" y="2543171"/>
          <a:ext cx="5143500" cy="5705480"/>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solidFill>
                <a:schemeClr val="tx1"/>
              </a:solidFill>
              <a:effectLst/>
              <a:latin typeface="Arial" panose="020B0604020202020204" pitchFamily="34" charset="0"/>
              <a:ea typeface="+mn-ea"/>
              <a:cs typeface="Arial" panose="020B0604020202020204" pitchFamily="34" charset="0"/>
            </a:rPr>
            <a:t>The fertilizer section is for determining costs, it is not a nutrient management planning tool.</a:t>
          </a:r>
        </a:p>
        <a:p>
          <a:r>
            <a:rPr lang="en-US" sz="1000">
              <a:solidFill>
                <a:schemeClr val="tx1"/>
              </a:solidFill>
              <a:effectLst/>
              <a:latin typeface="Arial" panose="020B0604020202020204" pitchFamily="34" charset="0"/>
              <a:ea typeface="+mn-ea"/>
              <a:cs typeface="Arial" panose="020B0604020202020204" pitchFamily="34" charset="0"/>
            </a:rPr>
            <a:t> Some fertilizer input options in the budget will not be utilized for some crops. </a:t>
          </a:r>
        </a:p>
        <a:p>
          <a:endParaRPr lang="en-US" sz="1000">
            <a:solidFill>
              <a:schemeClr val="tx1"/>
            </a:solidFill>
            <a:effectLst/>
            <a:latin typeface="Arial" panose="020B0604020202020204" pitchFamily="34" charset="0"/>
            <a:ea typeface="+mn-ea"/>
            <a:cs typeface="Arial" panose="020B0604020202020204" pitchFamily="34" charset="0"/>
          </a:endParaRPr>
        </a:p>
        <a:p>
          <a:r>
            <a:rPr lang="en-US" sz="1000">
              <a:solidFill>
                <a:schemeClr val="tx1"/>
              </a:solidFill>
              <a:effectLst/>
              <a:latin typeface="Arial" panose="020B0604020202020204" pitchFamily="34" charset="0"/>
              <a:ea typeface="+mn-ea"/>
              <a:cs typeface="Arial" panose="020B0604020202020204" pitchFamily="34" charset="0"/>
            </a:rPr>
            <a:t>The Fertilizer Cost Calculator tab is a separate sheet that is set up to provide the user tools to easily calculate nutrient costs per pound of nutrient, or cost per acre of product for fertilizer additives.</a:t>
          </a:r>
        </a:p>
        <a:p>
          <a:endParaRPr lang="en-US" sz="1000">
            <a:solidFill>
              <a:schemeClr val="tx1"/>
            </a:solidFill>
            <a:effectLst/>
            <a:latin typeface="Arial" panose="020B0604020202020204" pitchFamily="34" charset="0"/>
            <a:ea typeface="+mn-ea"/>
            <a:cs typeface="Arial" panose="020B0604020202020204" pitchFamily="34" charset="0"/>
          </a:endParaRPr>
        </a:p>
        <a:p>
          <a:r>
            <a:rPr lang="en-US" sz="1000">
              <a:solidFill>
                <a:schemeClr val="tx1"/>
              </a:solidFill>
              <a:effectLst/>
              <a:latin typeface="Arial" panose="020B0604020202020204" pitchFamily="34" charset="0"/>
              <a:ea typeface="+mn-ea"/>
              <a:cs typeface="Arial" panose="020B0604020202020204" pitchFamily="34" charset="0"/>
            </a:rPr>
            <a:t>The fertilizer input section is set up with two options.  This is to try to make entry as simple as possible for users.  When entering fertilizer inputs, only enter them in one of the two sections so you do not double count them.</a:t>
          </a:r>
        </a:p>
        <a:p>
          <a:endParaRPr lang="en-US" sz="1000">
            <a:solidFill>
              <a:schemeClr val="tx1"/>
            </a:solidFill>
            <a:effectLst/>
            <a:latin typeface="Arial" panose="020B0604020202020204" pitchFamily="34" charset="0"/>
            <a:ea typeface="+mn-ea"/>
            <a:cs typeface="Arial" panose="020B0604020202020204" pitchFamily="34" charset="0"/>
          </a:endParaRPr>
        </a:p>
        <a:p>
          <a:r>
            <a:rPr lang="en-US" sz="1000">
              <a:solidFill>
                <a:schemeClr val="tx1"/>
              </a:solidFill>
              <a:effectLst/>
              <a:latin typeface="Arial" panose="020B0604020202020204" pitchFamily="34" charset="0"/>
              <a:ea typeface="+mn-ea"/>
              <a:cs typeface="Arial" panose="020B0604020202020204" pitchFamily="34" charset="0"/>
            </a:rPr>
            <a:t>The first section is set up to calculate the cost based on the total pounds or gallons of each fertilizer product applied that is entered along with the corresponding price.  These fertilizer materials are often materials that are providing multiple nutrients with that product, like starters or blends such as 9-23-30. </a:t>
          </a:r>
        </a:p>
        <a:p>
          <a:endParaRPr lang="en-US" sz="1000">
            <a:solidFill>
              <a:schemeClr val="tx1"/>
            </a:solidFill>
            <a:effectLst/>
            <a:latin typeface="Arial" panose="020B0604020202020204" pitchFamily="34" charset="0"/>
            <a:ea typeface="+mn-ea"/>
            <a:cs typeface="Arial" panose="020B0604020202020204" pitchFamily="34" charset="0"/>
          </a:endParaRPr>
        </a:p>
        <a:p>
          <a:r>
            <a:rPr lang="en-US" sz="1000">
              <a:solidFill>
                <a:schemeClr val="tx1"/>
              </a:solidFill>
              <a:effectLst/>
              <a:latin typeface="Arial" panose="020B0604020202020204" pitchFamily="34" charset="0"/>
              <a:ea typeface="+mn-ea"/>
              <a:cs typeface="Arial" panose="020B0604020202020204" pitchFamily="34" charset="0"/>
            </a:rPr>
            <a:t>The second section is set up to calculate cost based on the pounds of actual nutrient applied per acre for the three primary nutrients.  In this section the pounds of actual nutrient are entered along with a price per lb. of nutrient.  The Fertilizer Cost Calculator tab is set up to calculate cost per lb. of nutrient.  There is a section of the Phosphorus cost/ lb. of nutrient calculator to help determine the cost of nitrogen that is a component of some common phosphorus fertilizer sources in the Fertilizer Cost Tab. </a:t>
          </a:r>
        </a:p>
        <a:p>
          <a:endParaRPr lang="en-US" sz="1000">
            <a:solidFill>
              <a:schemeClr val="tx1"/>
            </a:solidFill>
            <a:effectLst/>
            <a:latin typeface="Arial" panose="020B0604020202020204" pitchFamily="34" charset="0"/>
            <a:ea typeface="+mn-ea"/>
            <a:cs typeface="Arial" panose="020B0604020202020204" pitchFamily="34" charset="0"/>
          </a:endParaRPr>
        </a:p>
        <a:p>
          <a:r>
            <a:rPr lang="en-US" sz="1000">
              <a:solidFill>
                <a:schemeClr val="tx1"/>
              </a:solidFill>
              <a:effectLst/>
              <a:latin typeface="Arial" panose="020B0604020202020204" pitchFamily="34" charset="0"/>
              <a:ea typeface="+mn-ea"/>
              <a:cs typeface="Arial" panose="020B0604020202020204" pitchFamily="34" charset="0"/>
            </a:rPr>
            <a:t>* Use the N cost calculator in the P fertilizer section, (cell I47), on the Fertilizer Cost Calculator sheet to determine the cost for cell E37 on this page.</a:t>
          </a:r>
        </a:p>
        <a:p>
          <a:r>
            <a:rPr lang="en-US" sz="1000">
              <a:solidFill>
                <a:schemeClr val="tx1"/>
              </a:solidFill>
              <a:effectLst/>
              <a:latin typeface="Arial" panose="020B0604020202020204" pitchFamily="34" charset="0"/>
              <a:ea typeface="+mn-ea"/>
              <a:cs typeface="Arial" panose="020B0604020202020204" pitchFamily="34" charset="0"/>
            </a:rPr>
            <a:t>The manure line should be used to account for the cost of any purchased manure inputs and it's application.  Application of on farm produced manure should be accounted for in pre-harvest field operation costs. </a:t>
          </a:r>
        </a:p>
        <a:p>
          <a:endParaRPr lang="en-US" sz="1000">
            <a:solidFill>
              <a:schemeClr val="tx1"/>
            </a:solidFill>
            <a:effectLst/>
            <a:latin typeface="Arial" panose="020B0604020202020204" pitchFamily="34" charset="0"/>
            <a:ea typeface="+mn-ea"/>
            <a:cs typeface="Arial" panose="020B0604020202020204" pitchFamily="34" charset="0"/>
          </a:endParaRPr>
        </a:p>
        <a:p>
          <a:r>
            <a:rPr lang="en-US" sz="1000">
              <a:solidFill>
                <a:schemeClr val="tx1"/>
              </a:solidFill>
              <a:effectLst/>
              <a:latin typeface="Arial" panose="020B0604020202020204" pitchFamily="34" charset="0"/>
              <a:ea typeface="+mn-ea"/>
              <a:cs typeface="Arial" panose="020B0604020202020204" pitchFamily="34" charset="0"/>
            </a:rPr>
            <a:t>Other fertilizer line can be used for micronutrients, or a combination of inputs not accounted for in the other fertilizer expense categories in the budget.</a:t>
          </a:r>
        </a:p>
        <a:p>
          <a:endParaRPr lang="en-US" sz="1000">
            <a:solidFill>
              <a:schemeClr val="tx1"/>
            </a:solidFill>
            <a:effectLst/>
            <a:latin typeface="Arial" panose="020B0604020202020204" pitchFamily="34" charset="0"/>
            <a:ea typeface="+mn-ea"/>
            <a:cs typeface="Arial" panose="020B0604020202020204" pitchFamily="34" charset="0"/>
          </a:endParaRPr>
        </a:p>
        <a:p>
          <a:r>
            <a:rPr lang="en-US" sz="1000">
              <a:solidFill>
                <a:schemeClr val="tx1"/>
              </a:solidFill>
              <a:effectLst/>
              <a:latin typeface="Arial" panose="020B0604020202020204" pitchFamily="34" charset="0"/>
              <a:ea typeface="+mn-ea"/>
              <a:cs typeface="Arial" panose="020B0604020202020204" pitchFamily="34" charset="0"/>
            </a:rPr>
            <a:t>Include Custom hired Fertilizer Application Costs if it is not already included in the cost of the fertilizer entered in other locations in the budget sheet.</a:t>
          </a:r>
        </a:p>
        <a:p>
          <a:endParaRPr lang="en-US" sz="1000">
            <a:solidFill>
              <a:schemeClr val="tx1"/>
            </a:solidFill>
            <a:effectLst/>
            <a:latin typeface="Arial" panose="020B0604020202020204" pitchFamily="34" charset="0"/>
            <a:ea typeface="+mn-ea"/>
            <a:cs typeface="Arial" panose="020B0604020202020204" pitchFamily="34" charset="0"/>
          </a:endParaRPr>
        </a:p>
        <a:p>
          <a:r>
            <a:rPr lang="en-US" sz="1000">
              <a:solidFill>
                <a:schemeClr val="tx1"/>
              </a:solidFill>
              <a:effectLst/>
              <a:latin typeface="Arial" panose="020B0604020202020204" pitchFamily="34" charset="0"/>
              <a:ea typeface="+mn-ea"/>
              <a:cs typeface="Arial" panose="020B0604020202020204" pitchFamily="34" charset="0"/>
            </a:rPr>
            <a:t>There is a soil test cost calculator on the Fertilizer Cost Calculator Sheet.</a:t>
          </a:r>
        </a:p>
        <a:p>
          <a:endParaRPr lang="en-US" sz="1000" baseline="0">
            <a:latin typeface="Arial" panose="020B0604020202020204" pitchFamily="34" charset="0"/>
            <a:cs typeface="Arial" panose="020B0604020202020204" pitchFamily="34" charset="0"/>
          </a:endParaRPr>
        </a:p>
      </xdr:txBody>
    </xdr:sp>
    <xdr:clientData/>
  </xdr:oneCellAnchor>
  <xdr:twoCellAnchor>
    <xdr:from>
      <xdr:col>7</xdr:col>
      <xdr:colOff>57149</xdr:colOff>
      <xdr:row>58</xdr:row>
      <xdr:rowOff>57149</xdr:rowOff>
    </xdr:from>
    <xdr:to>
      <xdr:col>16</xdr:col>
      <xdr:colOff>285750</xdr:colOff>
      <xdr:row>63</xdr:row>
      <xdr:rowOff>9525</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6800849" y="9648824"/>
          <a:ext cx="5181601" cy="762001"/>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Enter</a:t>
          </a:r>
          <a:r>
            <a:rPr lang="en-US" sz="1000" baseline="0">
              <a:latin typeface="Arial" panose="020B0604020202020204" pitchFamily="34" charset="0"/>
              <a:cs typeface="Arial" panose="020B0604020202020204" pitchFamily="34" charset="0"/>
            </a:rPr>
            <a:t> price per 80,000 kernels, 80,000 kernels is the standard number of kernels in a traditional "bag" of seed.</a:t>
          </a:r>
        </a:p>
        <a:p>
          <a:endParaRPr lang="en-US" sz="1000" baseline="0">
            <a:latin typeface="Arial" panose="020B0604020202020204" pitchFamily="34" charset="0"/>
            <a:cs typeface="Arial" panose="020B0604020202020204" pitchFamily="34" charset="0"/>
          </a:endParaRPr>
        </a:p>
        <a:p>
          <a:r>
            <a:rPr lang="en-US" sz="1000" baseline="0">
              <a:latin typeface="Arial" panose="020B0604020202020204" pitchFamily="34" charset="0"/>
              <a:cs typeface="Arial" panose="020B0604020202020204" pitchFamily="34" charset="0"/>
            </a:rPr>
            <a:t>Cover crop seed should be the cover crop planted before this crop.</a:t>
          </a:r>
          <a:endParaRPr lang="en-US" sz="1000">
            <a:latin typeface="Arial" panose="020B0604020202020204" pitchFamily="34" charset="0"/>
            <a:cs typeface="Arial" panose="020B0604020202020204" pitchFamily="34" charset="0"/>
          </a:endParaRPr>
        </a:p>
      </xdr:txBody>
    </xdr:sp>
    <xdr:clientData/>
  </xdr:twoCellAnchor>
  <xdr:oneCellAnchor>
    <xdr:from>
      <xdr:col>15</xdr:col>
      <xdr:colOff>542925</xdr:colOff>
      <xdr:row>53</xdr:row>
      <xdr:rowOff>19050</xdr:rowOff>
    </xdr:from>
    <xdr:ext cx="184731" cy="264560"/>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0639425" y="7562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28575</xdr:colOff>
      <xdr:row>67</xdr:row>
      <xdr:rowOff>1</xdr:rowOff>
    </xdr:from>
    <xdr:to>
      <xdr:col>16</xdr:col>
      <xdr:colOff>333375</xdr:colOff>
      <xdr:row>84</xdr:row>
      <xdr:rowOff>104775</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6772275" y="10725151"/>
          <a:ext cx="5257800" cy="2867024"/>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Pest control inputs are separated into pesticide</a:t>
          </a:r>
          <a:r>
            <a:rPr lang="en-US" sz="1000" baseline="0">
              <a:latin typeface="Arial" panose="020B0604020202020204" pitchFamily="34" charset="0"/>
              <a:cs typeface="Arial" panose="020B0604020202020204" pitchFamily="34" charset="0"/>
            </a:rPr>
            <a:t> costs and application costs. </a:t>
          </a:r>
        </a:p>
        <a:p>
          <a:endParaRPr lang="en-US" sz="100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There are multiple lines for several pest control applications because some years may require additional passes depending on pest pressure. Be sure you are scouting the crops and using IPM determined thresholds to determine if applications are necessary.  When using these to project costs, include your average number of applications from past years.</a:t>
          </a:r>
          <a:endParaRPr lang="en-US" sz="1000">
            <a:effectLst/>
            <a:latin typeface="Arial" panose="020B0604020202020204" pitchFamily="34" charset="0"/>
            <a:cs typeface="Arial" panose="020B0604020202020204" pitchFamily="34" charset="0"/>
          </a:endParaRPr>
        </a:p>
        <a:p>
          <a:endParaRPr lang="en-US" sz="1000" baseline="0">
            <a:latin typeface="Arial" panose="020B0604020202020204" pitchFamily="34" charset="0"/>
            <a:cs typeface="Arial" panose="020B0604020202020204" pitchFamily="34" charset="0"/>
          </a:endParaRPr>
        </a:p>
        <a:p>
          <a:r>
            <a:rPr lang="en-US" sz="1000" baseline="0">
              <a:latin typeface="Arial" panose="020B0604020202020204" pitchFamily="34" charset="0"/>
              <a:cs typeface="Arial" panose="020B0604020202020204" pitchFamily="34" charset="0"/>
            </a:rPr>
            <a:t>Use caution not to double count costs, some examples are:</a:t>
          </a:r>
        </a:p>
        <a:p>
          <a:endParaRPr lang="en-US" sz="1000" baseline="0">
            <a:latin typeface="Arial" panose="020B0604020202020204" pitchFamily="34" charset="0"/>
            <a:cs typeface="Arial" panose="020B0604020202020204" pitchFamily="34" charset="0"/>
          </a:endParaRPr>
        </a:p>
        <a:p>
          <a:r>
            <a:rPr lang="en-US" sz="1000" baseline="0">
              <a:latin typeface="Arial" panose="020B0604020202020204" pitchFamily="34" charset="0"/>
              <a:cs typeface="Arial" panose="020B0604020202020204" pitchFamily="34" charset="0"/>
            </a:rPr>
            <a:t>Seed treatment, for example, the application cost may be covered by the planting cost which is in a separate section, and the seed treatment cost it's self may be in the seed cost.</a:t>
          </a:r>
        </a:p>
        <a:p>
          <a:endParaRPr lang="en-US" sz="1000" baseline="0">
            <a:latin typeface="Arial" panose="020B0604020202020204" pitchFamily="34" charset="0"/>
            <a:cs typeface="Arial" panose="020B0604020202020204" pitchFamily="34" charset="0"/>
          </a:endParaRPr>
        </a:p>
        <a:p>
          <a:r>
            <a:rPr lang="en-US" sz="1000" baseline="0">
              <a:latin typeface="Arial" panose="020B0604020202020204" pitchFamily="34" charset="0"/>
              <a:cs typeface="Arial" panose="020B0604020202020204" pitchFamily="34" charset="0"/>
            </a:rPr>
            <a:t>Some products, like foliar insecticide could be tank mixed with an herbicide application depending on timing of need and application cost should only be included once.</a:t>
          </a:r>
        </a:p>
        <a:p>
          <a:endParaRPr lang="en-US" sz="1000" baseline="0">
            <a:latin typeface="Arial" panose="020B0604020202020204" pitchFamily="34" charset="0"/>
            <a:cs typeface="Arial" panose="020B0604020202020204" pitchFamily="34" charset="0"/>
          </a:endParaRPr>
        </a:p>
        <a:p>
          <a:r>
            <a:rPr lang="en-US" sz="1000" baseline="0">
              <a:latin typeface="Arial" panose="020B0604020202020204" pitchFamily="34" charset="0"/>
              <a:cs typeface="Arial" panose="020B0604020202020204" pitchFamily="34" charset="0"/>
            </a:rPr>
            <a:t>*Include application costs here whether you apply your own or hire it done. </a:t>
          </a:r>
          <a:endParaRPr lang="en-US" sz="1000">
            <a:latin typeface="Arial" panose="020B0604020202020204" pitchFamily="34" charset="0"/>
            <a:cs typeface="Arial" panose="020B0604020202020204" pitchFamily="34" charset="0"/>
          </a:endParaRPr>
        </a:p>
      </xdr:txBody>
    </xdr:sp>
    <xdr:clientData/>
  </xdr:twoCellAnchor>
  <xdr:twoCellAnchor>
    <xdr:from>
      <xdr:col>6</xdr:col>
      <xdr:colOff>857249</xdr:colOff>
      <xdr:row>103</xdr:row>
      <xdr:rowOff>95249</xdr:rowOff>
    </xdr:from>
    <xdr:to>
      <xdr:col>19</xdr:col>
      <xdr:colOff>523874</xdr:colOff>
      <xdr:row>112</xdr:row>
      <xdr:rowOff>114299</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6705599" y="17087849"/>
          <a:ext cx="7229475" cy="1495425"/>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Arial" panose="020B0604020202020204" pitchFamily="34" charset="0"/>
              <a:ea typeface="+mn-ea"/>
              <a:cs typeface="Arial" panose="020B0604020202020204" pitchFamily="34" charset="0"/>
            </a:rPr>
            <a:t>The budget is set up so that Preharvest and Harvest Operations include fuel, repairs, machine storage, insurance on machinery, labor, and depreciation.  Following are links to resources to help determine these costs.  The spreadsheet resources from Iowa State and Minnesota will help estimate these costs closer to user’s actual costs than average values in fact sheets and custom rate guides.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Arial" panose="020B0604020202020204" pitchFamily="34" charset="0"/>
              <a:ea typeface="+mn-ea"/>
              <a:cs typeface="Arial" panose="020B0604020202020204" pitchFamily="34" charset="0"/>
            </a:rPr>
            <a:t>Machinery operation cost fact sheet estimates often use assumptions of annual acres of use that may not be close to users of this budget so their estimates may not accurately represent user’s actual costs.</a:t>
          </a:r>
        </a:p>
        <a:p>
          <a:pPr marL="0" marR="0" lvl="0" indent="0" defTabSz="914400" eaLnBrk="1" fontAlgn="auto" latinLnBrk="0" hangingPunct="1">
            <a:lnSpc>
              <a:spcPct val="100000"/>
            </a:lnSpc>
            <a:spcBef>
              <a:spcPts val="0"/>
            </a:spcBef>
            <a:spcAft>
              <a:spcPts val="0"/>
            </a:spcAft>
            <a:buClrTx/>
            <a:buSzTx/>
            <a:buFontTx/>
            <a:buNone/>
            <a:tabLst/>
            <a:defRPr/>
          </a:pPr>
          <a:endParaRPr lang="en-US"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Arial" panose="020B0604020202020204" pitchFamily="34" charset="0"/>
              <a:ea typeface="+mn-ea"/>
              <a:cs typeface="Arial" panose="020B0604020202020204" pitchFamily="34" charset="0"/>
            </a:rPr>
            <a:t>Click on the left end cell of the links to the resources</a:t>
          </a:r>
          <a:r>
            <a:rPr lang="en-US" sz="1000" baseline="0">
              <a:solidFill>
                <a:schemeClr val="dk1"/>
              </a:solidFill>
              <a:effectLst/>
              <a:latin typeface="Arial" panose="020B0604020202020204" pitchFamily="34" charset="0"/>
              <a:ea typeface="+mn-ea"/>
              <a:cs typeface="Arial" panose="020B0604020202020204" pitchFamily="34" charset="0"/>
            </a:rPr>
            <a:t> below to go to those web pages.</a:t>
          </a:r>
          <a:endParaRPr lang="en-US" sz="1000">
            <a:solidFill>
              <a:schemeClr val="dk1"/>
            </a:solidFill>
            <a:effectLst/>
            <a:latin typeface="Arial" panose="020B0604020202020204" pitchFamily="34" charset="0"/>
            <a:ea typeface="+mn-ea"/>
            <a:cs typeface="Arial" panose="020B0604020202020204" pitchFamily="34" charset="0"/>
          </a:endParaRPr>
        </a:p>
        <a:p>
          <a:endParaRPr lang="en-US" sz="1100"/>
        </a:p>
      </xdr:txBody>
    </xdr:sp>
    <xdr:clientData/>
  </xdr:twoCellAnchor>
  <xdr:oneCellAnchor>
    <xdr:from>
      <xdr:col>7</xdr:col>
      <xdr:colOff>63500</xdr:colOff>
      <xdr:row>94</xdr:row>
      <xdr:rowOff>127000</xdr:rowOff>
    </xdr:from>
    <xdr:ext cx="5199063" cy="571500"/>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6334125" y="11215688"/>
          <a:ext cx="5199063" cy="571500"/>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latin typeface="Arial" panose="020B0604020202020204" pitchFamily="34" charset="0"/>
              <a:cs typeface="Arial" panose="020B0604020202020204" pitchFamily="34" charset="0"/>
            </a:rPr>
            <a:t>If</a:t>
          </a:r>
          <a:r>
            <a:rPr lang="en-US" sz="1000" baseline="0">
              <a:latin typeface="Arial" panose="020B0604020202020204" pitchFamily="34" charset="0"/>
              <a:cs typeface="Arial" panose="020B0604020202020204" pitchFamily="34" charset="0"/>
            </a:rPr>
            <a:t> soil sampling and test costs are part of the nutrient management plan costs, or part of </a:t>
          </a:r>
        </a:p>
        <a:p>
          <a:r>
            <a:rPr lang="en-US" sz="1000" baseline="0">
              <a:latin typeface="Arial" panose="020B0604020202020204" pitchFamily="34" charset="0"/>
              <a:cs typeface="Arial" panose="020B0604020202020204" pitchFamily="34" charset="0"/>
            </a:rPr>
            <a:t>crop scouting service, make sure to only enter them in once at the location of your choice</a:t>
          </a:r>
          <a:r>
            <a:rPr lang="en-US" sz="1100" baseline="0"/>
            <a:t>.</a:t>
          </a:r>
          <a:endParaRPr lang="en-US" sz="1100"/>
        </a:p>
      </xdr:txBody>
    </xdr:sp>
    <xdr:clientData/>
  </xdr:oneCellAnchor>
  <xdr:twoCellAnchor>
    <xdr:from>
      <xdr:col>6</xdr:col>
      <xdr:colOff>884237</xdr:colOff>
      <xdr:row>128</xdr:row>
      <xdr:rowOff>158750</xdr:rowOff>
    </xdr:from>
    <xdr:to>
      <xdr:col>17</xdr:col>
      <xdr:colOff>312737</xdr:colOff>
      <xdr:row>132</xdr:row>
      <xdr:rowOff>20637</xdr:rowOff>
    </xdr:to>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6732587" y="21475700"/>
          <a:ext cx="5848350" cy="509587"/>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The</a:t>
          </a:r>
          <a:r>
            <a:rPr lang="en-US" sz="1000" baseline="0">
              <a:latin typeface="Arial" panose="020B0604020202020204" pitchFamily="34" charset="0"/>
              <a:cs typeface="Arial" panose="020B0604020202020204" pitchFamily="34" charset="0"/>
            </a:rPr>
            <a:t> hauling section pro-rates a full load of what ever size truck is used to a per acre cost based on yield you enter above.</a:t>
          </a:r>
          <a:endParaRPr lang="en-US" sz="1000">
            <a:latin typeface="Arial" panose="020B0604020202020204" pitchFamily="34" charset="0"/>
            <a:cs typeface="Arial" panose="020B0604020202020204" pitchFamily="34" charset="0"/>
          </a:endParaRPr>
        </a:p>
      </xdr:txBody>
    </xdr:sp>
    <xdr:clientData/>
  </xdr:twoCellAnchor>
  <xdr:twoCellAnchor>
    <xdr:from>
      <xdr:col>7</xdr:col>
      <xdr:colOff>15875</xdr:colOff>
      <xdr:row>11</xdr:row>
      <xdr:rowOff>15874</xdr:rowOff>
    </xdr:from>
    <xdr:to>
      <xdr:col>16</xdr:col>
      <xdr:colOff>190500</xdr:colOff>
      <xdr:row>15</xdr:row>
      <xdr:rowOff>95249</xdr:rowOff>
    </xdr:to>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6619875" y="1547812"/>
          <a:ext cx="5127625" cy="714375"/>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This</a:t>
          </a:r>
          <a:r>
            <a:rPr lang="en-US" sz="1000" baseline="0">
              <a:latin typeface="Arial" panose="020B0604020202020204" pitchFamily="34" charset="0"/>
              <a:cs typeface="Arial" panose="020B0604020202020204" pitchFamily="34" charset="0"/>
            </a:rPr>
            <a:t> enterprise budget has example revenue and expense numbers in it.  Users need to put their own revenue and expenses into the spreadsheet.  All blue cells are set up for the user to enter in their own information.</a:t>
          </a:r>
          <a:endParaRPr lang="en-US" sz="10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91167</xdr:colOff>
      <xdr:row>0</xdr:row>
      <xdr:rowOff>34018</xdr:rowOff>
    </xdr:from>
    <xdr:to>
      <xdr:col>2</xdr:col>
      <xdr:colOff>953345</xdr:colOff>
      <xdr:row>4</xdr:row>
      <xdr:rowOff>1208</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67" y="34018"/>
          <a:ext cx="3729203" cy="567265"/>
        </a:xfrm>
        <a:prstGeom prst="rect">
          <a:avLst/>
        </a:prstGeom>
      </xdr:spPr>
    </xdr:pic>
    <xdr:clientData/>
  </xdr:twoCellAnchor>
  <xdr:oneCellAnchor>
    <xdr:from>
      <xdr:col>7</xdr:col>
      <xdr:colOff>57150</xdr:colOff>
      <xdr:row>17</xdr:row>
      <xdr:rowOff>19046</xdr:rowOff>
    </xdr:from>
    <xdr:ext cx="5143500" cy="5924554"/>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7077075" y="2543171"/>
          <a:ext cx="5143500" cy="5924554"/>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section is for determining costs, it is not a nutrient management planning tool.</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Some fertilizer input options in the budget will not be utilized for some crops.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Cost Calculator tab is a separate sheet that is set up to provide the user tools to easily calculate nutrient costs per pound of nutrient, or cost per acre of product for fertilizer additives.</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input section is set up with two options.  This is to try to make entry as simple as possible for users.  When entering fertilizer inputs, only enter them in one of the two sections so you do not double count them.</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first section is set up to calculate the cost based on the total pounds or gallons of each fertilizer product applied that is entered along with the corresponding price.  These fertilizer materials are often materials that are providing multiple nutrients with that product, like starters or blends such as 9-23-30.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second section is set up to calculate cost based on the pounds of actual nutrient applied per acre for the three primary nutrients.  In this section the pounds of actual nutrient are entered along with a price per lb. of nutrient.  The Fertilizer Cost Calculator tab is set up to calculate cost per lb. of nutrient.  There is a section of the Phosphorus cost/ lb. of nutrient calculator to help determine the cost of nitrogen that is a component of some common phosphorus fertilizer sources in the Fertilizer Cost Tab.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Use the N cost calculator in the P fertilizer section, (cell I47), on the Fertilizer Cost Calculator sheet to determine the cost for cell E37 on this page.</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manure line should be used to account for the cost of any purchased manure inputs and it's application.  Application of on farm produced manure should be accounted for in pre-harvest field operation costs.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Other fertilizer line can be used for micronutrients, or a combination of inputs not accounted for in the other fertilizer expense categories in the budget.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Include Custom hired Fertilizer Application Costs if it is not already included in the cost of the fertilizer entered in other locations in the budget sheet.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There is a soil test cost calculator on the Fertilizer Cost Calculator Sheet.</a:t>
          </a:r>
        </a:p>
        <a:p>
          <a:endParaRPr lang="en-US" sz="1000" baseline="0">
            <a:latin typeface="Arial" panose="020B0604020202020204" pitchFamily="34" charset="0"/>
            <a:cs typeface="Arial" panose="020B0604020202020204" pitchFamily="34" charset="0"/>
          </a:endParaRPr>
        </a:p>
      </xdr:txBody>
    </xdr:sp>
    <xdr:clientData/>
  </xdr:oneCellAnchor>
  <xdr:twoCellAnchor>
    <xdr:from>
      <xdr:col>7</xdr:col>
      <xdr:colOff>57149</xdr:colOff>
      <xdr:row>58</xdr:row>
      <xdr:rowOff>57149</xdr:rowOff>
    </xdr:from>
    <xdr:to>
      <xdr:col>16</xdr:col>
      <xdr:colOff>285750</xdr:colOff>
      <xdr:row>63</xdr:row>
      <xdr:rowOff>104775</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7077074" y="9648824"/>
          <a:ext cx="5181601" cy="857251"/>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a:t>
          </a:r>
          <a:r>
            <a:rPr lang="en-US" sz="1100" baseline="0"/>
            <a:t> price per 80,000 kernels, 80,000 kernals is the standard number of kernels in a traditional "bag" of seed.</a:t>
          </a:r>
        </a:p>
        <a:p>
          <a:endParaRPr lang="en-US" sz="1100" baseline="0"/>
        </a:p>
        <a:p>
          <a:r>
            <a:rPr lang="en-US" sz="1100" baseline="0"/>
            <a:t>Cover crop seed should be the cover crop planted before this crop.</a:t>
          </a:r>
          <a:endParaRPr lang="en-US" sz="1100"/>
        </a:p>
      </xdr:txBody>
    </xdr:sp>
    <xdr:clientData/>
  </xdr:twoCellAnchor>
  <xdr:oneCellAnchor>
    <xdr:from>
      <xdr:col>15</xdr:col>
      <xdr:colOff>542925</xdr:colOff>
      <xdr:row>53</xdr:row>
      <xdr:rowOff>19050</xdr:rowOff>
    </xdr:from>
    <xdr:ext cx="184731" cy="264560"/>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11944350" y="880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28575</xdr:colOff>
      <xdr:row>67</xdr:row>
      <xdr:rowOff>0</xdr:rowOff>
    </xdr:from>
    <xdr:to>
      <xdr:col>16</xdr:col>
      <xdr:colOff>333375</xdr:colOff>
      <xdr:row>87</xdr:row>
      <xdr:rowOff>25977</xdr:rowOff>
    </xdr:to>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7048500" y="10725150"/>
          <a:ext cx="5257800" cy="3274002"/>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Pest control inputs are separated into pesticide</a:t>
          </a:r>
          <a:r>
            <a:rPr lang="en-US" sz="1100" baseline="0"/>
            <a:t> costs and the application costs. </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There are multiple lines for several pest control applications because some years may require additional passes depending on pest pressure. Be sure you are scouting the crops and using IPM determined thresholds to determine if applications are necessary.  When using these to project costs, include your average number of applications from past years.</a:t>
          </a:r>
          <a:endParaRPr lang="en-US">
            <a:effectLst/>
          </a:endParaRPr>
        </a:p>
        <a:p>
          <a:endParaRPr lang="en-US" sz="1100" baseline="0"/>
        </a:p>
        <a:p>
          <a:r>
            <a:rPr lang="en-US" sz="1100" baseline="0"/>
            <a:t>Use caution not to double count costs, some examples are:</a:t>
          </a:r>
        </a:p>
        <a:p>
          <a:endParaRPr lang="en-US" sz="1100" baseline="0"/>
        </a:p>
        <a:p>
          <a:r>
            <a:rPr lang="en-US" sz="1100" baseline="0"/>
            <a:t>Seed treatment, for example, the application cost may be covered by the planting cost which is in a separate section, and the seed treatment cost it's self may be in the seed cost.</a:t>
          </a:r>
        </a:p>
        <a:p>
          <a:endParaRPr lang="en-US" sz="1100" baseline="0"/>
        </a:p>
        <a:p>
          <a:r>
            <a:rPr lang="en-US" sz="1100" baseline="0"/>
            <a:t>Some products, like foliar insecticide could be tank mixed with an herbicide application depending on timing of need and application cost should only be included once.</a:t>
          </a:r>
        </a:p>
        <a:p>
          <a:endParaRPr lang="en-US" sz="1100" baseline="0"/>
        </a:p>
        <a:p>
          <a:r>
            <a:rPr lang="en-US" sz="1100" baseline="0"/>
            <a:t>*Include application costs here whether you apply your own or hire it done. </a:t>
          </a:r>
          <a:endParaRPr lang="en-US" sz="1100"/>
        </a:p>
      </xdr:txBody>
    </xdr:sp>
    <xdr:clientData/>
  </xdr:twoCellAnchor>
  <xdr:twoCellAnchor>
    <xdr:from>
      <xdr:col>6</xdr:col>
      <xdr:colOff>867640</xdr:colOff>
      <xdr:row>106</xdr:row>
      <xdr:rowOff>17320</xdr:rowOff>
    </xdr:from>
    <xdr:to>
      <xdr:col>19</xdr:col>
      <xdr:colOff>534265</xdr:colOff>
      <xdr:row>115</xdr:row>
      <xdr:rowOff>47626</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6992215" y="17495695"/>
          <a:ext cx="7229475" cy="1535256"/>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budget is set up so that Preharvest and Harvest Operations include fuel, repairs, machine storage, insurance on machinery, labor, and depreciation.  Following are links to resources to help determine these costs.  The spreadsheet resources from Iowa State and Minnesota will help estimate these costs closer to user’s actual costs than average values in fact sheets and custom rate guides.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Machinery operation cost fact sheet estimates often use assumptions of annual acres of use that may not be close to users of this budget so their estimates may not accurately represent user’s actual costs.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Click on the left end cell of the links to the resources below to go to those web pages.</a:t>
          </a:r>
        </a:p>
        <a:p>
          <a:endParaRPr lang="en-US" sz="1100"/>
        </a:p>
      </xdr:txBody>
    </xdr:sp>
    <xdr:clientData/>
  </xdr:twoCellAnchor>
  <xdr:oneCellAnchor>
    <xdr:from>
      <xdr:col>7</xdr:col>
      <xdr:colOff>63500</xdr:colOff>
      <xdr:row>94</xdr:row>
      <xdr:rowOff>127000</xdr:rowOff>
    </xdr:from>
    <xdr:ext cx="5199063" cy="571500"/>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7083425" y="15262225"/>
          <a:ext cx="5199063" cy="571500"/>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If</a:t>
          </a:r>
          <a:r>
            <a:rPr lang="en-US" sz="1100" baseline="0"/>
            <a:t> soil sampling and test costs are part of the nutrient management plan costs, or part of </a:t>
          </a:r>
        </a:p>
        <a:p>
          <a:r>
            <a:rPr lang="en-US" sz="1100" baseline="0"/>
            <a:t>crop scouting service, make sure to only enter them in once at the location of your choice.</a:t>
          </a:r>
          <a:endParaRPr lang="en-US" sz="1100"/>
        </a:p>
      </xdr:txBody>
    </xdr:sp>
    <xdr:clientData/>
  </xdr:oneCellAnchor>
  <xdr:twoCellAnchor>
    <xdr:from>
      <xdr:col>6</xdr:col>
      <xdr:colOff>865187</xdr:colOff>
      <xdr:row>147</xdr:row>
      <xdr:rowOff>111125</xdr:rowOff>
    </xdr:from>
    <xdr:to>
      <xdr:col>17</xdr:col>
      <xdr:colOff>293687</xdr:colOff>
      <xdr:row>150</xdr:row>
      <xdr:rowOff>134937</xdr:rowOff>
    </xdr:to>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6989762" y="23933150"/>
          <a:ext cx="5848350" cy="509587"/>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per mile hauling section prorates a full load of what ever size truck is used to a per acre cost based on yield you enter above.</a:t>
          </a:r>
          <a:endParaRPr lang="en-US" sz="1100"/>
        </a:p>
      </xdr:txBody>
    </xdr:sp>
    <xdr:clientData/>
  </xdr:twoCellAnchor>
  <xdr:twoCellAnchor>
    <xdr:from>
      <xdr:col>6</xdr:col>
      <xdr:colOff>857251</xdr:colOff>
      <xdr:row>151</xdr:row>
      <xdr:rowOff>155865</xdr:rowOff>
    </xdr:from>
    <xdr:to>
      <xdr:col>17</xdr:col>
      <xdr:colOff>381000</xdr:colOff>
      <xdr:row>153</xdr:row>
      <xdr:rowOff>95250</xdr:rowOff>
    </xdr:to>
    <xdr:sp macro="" textlink="">
      <xdr:nvSpPr>
        <xdr:cNvPr id="10" name="TextBox 9">
          <a:extLst>
            <a:ext uri="{FF2B5EF4-FFF2-40B4-BE49-F238E27FC236}">
              <a16:creationId xmlns:a16="http://schemas.microsoft.com/office/drawing/2014/main" id="{00000000-0008-0000-0600-00000A000000}"/>
            </a:ext>
          </a:extLst>
        </xdr:cNvPr>
        <xdr:cNvSpPr txBox="1"/>
      </xdr:nvSpPr>
      <xdr:spPr>
        <a:xfrm>
          <a:off x="6981826" y="24625590"/>
          <a:ext cx="5943599" cy="263235"/>
        </a:xfrm>
        <a:prstGeom prst="rect">
          <a:avLst/>
        </a:prstGeom>
        <a:solidFill>
          <a:srgbClr val="F0F0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Bags and covers price per acre</a:t>
          </a:r>
          <a:r>
            <a:rPr lang="en-US" sz="1100" baseline="0"/>
            <a:t> pro-rate the expense based on yield entered at the top</a:t>
          </a:r>
          <a:endParaRPr lang="en-US" sz="1100"/>
        </a:p>
      </xdr:txBody>
    </xdr:sp>
    <xdr:clientData/>
  </xdr:twoCellAnchor>
  <xdr:twoCellAnchor>
    <xdr:from>
      <xdr:col>7</xdr:col>
      <xdr:colOff>25978</xdr:colOff>
      <xdr:row>11</xdr:row>
      <xdr:rowOff>129886</xdr:rowOff>
    </xdr:from>
    <xdr:to>
      <xdr:col>16</xdr:col>
      <xdr:colOff>200603</xdr:colOff>
      <xdr:row>16</xdr:row>
      <xdr:rowOff>21647</xdr:rowOff>
    </xdr:to>
    <xdr:sp macro="" textlink="">
      <xdr:nvSpPr>
        <xdr:cNvPr id="11" name="TextBox 10">
          <a:extLst>
            <a:ext uri="{FF2B5EF4-FFF2-40B4-BE49-F238E27FC236}">
              <a16:creationId xmlns:a16="http://schemas.microsoft.com/office/drawing/2014/main" id="{00000000-0008-0000-0600-00000B000000}"/>
            </a:ext>
          </a:extLst>
        </xdr:cNvPr>
        <xdr:cNvSpPr txBox="1"/>
      </xdr:nvSpPr>
      <xdr:spPr>
        <a:xfrm>
          <a:off x="7045903" y="1682461"/>
          <a:ext cx="5127625" cy="701386"/>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This</a:t>
          </a:r>
          <a:r>
            <a:rPr lang="en-US" sz="1000" baseline="0">
              <a:latin typeface="Arial" panose="020B0604020202020204" pitchFamily="34" charset="0"/>
              <a:cs typeface="Arial" panose="020B0604020202020204" pitchFamily="34" charset="0"/>
            </a:rPr>
            <a:t> enterprise budget has example revenue and expense numbers in it.  Users need to put their own revenue and expenses into the spreadsheet.  All blue cells are set up for the user to enter in their own information.</a:t>
          </a:r>
          <a:endParaRPr lang="en-US" sz="1000">
            <a:latin typeface="Arial" panose="020B0604020202020204" pitchFamily="34" charset="0"/>
            <a:cs typeface="Arial" panose="020B0604020202020204" pitchFamily="34" charset="0"/>
          </a:endParaRPr>
        </a:p>
      </xdr:txBody>
    </xdr:sp>
    <xdr:clientData/>
  </xdr:twoCellAnchor>
  <xdr:twoCellAnchor>
    <xdr:from>
      <xdr:col>6</xdr:col>
      <xdr:colOff>876300</xdr:colOff>
      <xdr:row>132</xdr:row>
      <xdr:rowOff>142875</xdr:rowOff>
    </xdr:from>
    <xdr:to>
      <xdr:col>19</xdr:col>
      <xdr:colOff>542925</xdr:colOff>
      <xdr:row>139</xdr:row>
      <xdr:rowOff>0</xdr:rowOff>
    </xdr:to>
    <xdr:sp macro="" textlink="">
      <xdr:nvSpPr>
        <xdr:cNvPr id="12" name="TextBox 11">
          <a:extLst>
            <a:ext uri="{FF2B5EF4-FFF2-40B4-BE49-F238E27FC236}">
              <a16:creationId xmlns:a16="http://schemas.microsoft.com/office/drawing/2014/main" id="{00000000-0008-0000-0600-00000C000000}"/>
            </a:ext>
          </a:extLst>
        </xdr:cNvPr>
        <xdr:cNvSpPr txBox="1"/>
      </xdr:nvSpPr>
      <xdr:spPr>
        <a:xfrm>
          <a:off x="7000875" y="22107525"/>
          <a:ext cx="7229475" cy="990600"/>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The budget tool is set up to allow entry of harvest costs on per acre, per hour, and per ton basis due to the many ways that these costs may be known or billed for.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It is neccessary to use careful consideration to accurately account for the harvest costs without missing or double counting expenses by unintetionally entering the cost in more than one place.  </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91167</xdr:colOff>
      <xdr:row>0</xdr:row>
      <xdr:rowOff>34018</xdr:rowOff>
    </xdr:from>
    <xdr:to>
      <xdr:col>3</xdr:col>
      <xdr:colOff>168832</xdr:colOff>
      <xdr:row>4</xdr:row>
      <xdr:rowOff>1208</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67" y="34018"/>
          <a:ext cx="3954340" cy="595840"/>
        </a:xfrm>
        <a:prstGeom prst="rect">
          <a:avLst/>
        </a:prstGeom>
      </xdr:spPr>
    </xdr:pic>
    <xdr:clientData/>
  </xdr:twoCellAnchor>
  <xdr:oneCellAnchor>
    <xdr:from>
      <xdr:col>7</xdr:col>
      <xdr:colOff>57150</xdr:colOff>
      <xdr:row>17</xdr:row>
      <xdr:rowOff>19047</xdr:rowOff>
    </xdr:from>
    <xdr:ext cx="5143500" cy="5934078"/>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6619875" y="2543172"/>
          <a:ext cx="5143500" cy="5934078"/>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section is for determining costs, it is not a nutrient management planning tool.</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Some fertilizer input options in the budget will not be utilized for some crops.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Cost Calculator tab is a separate sheet that is set up to provide the user tools to easily calculate nutrient costs per pound of nutrient, or cost per acre of product for fertilizer additives.</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input section is set up with two options.  This is to try to make entry as simple as possible for users.  When entering fertilizer inputs, only enter them in one of the two sections so you do not double count them.</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first section is set up to calculate the cost based on the total pounds or gallons of each fertilizer product applied that is entered along with the corresponding price.  These fertilizer materials are often materials that are providing multiple nutrients with that product, like starters or blends such as 9-23-30.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second section is set up to calculate cost based on the pounds of actual nutrient applied per acre for the three primary nutrients.  In this section the pounds of actual nutrient are entered along with a price per lb. of nutrient.  The Fertilizer Cost Calculator tab is set up to calculate cost per lb. of nutrient.  There is a section of the Phosphorus cost/ lb. of nutrient calculator to help determine the cost of nitrogen that is a component of some common phosphorus fertilizer sources in the Fertilizer Cost Tab.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Use the N cost calculator in the P fertilizer section, (cell I47), on the Fertilizer Cost Calculator sheet to determine the cost for cell E31 on this page.</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manure line should be used to account for the cost of any purchased manure inputs and it's application.  Application of on farm produced manure should be accounted for in pre-harvest field operation costs.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Other fertilizer line can be used for micronutrients, or a combination of inputs not accounted for in the other fertilizer expense categories in the budget.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Include Custom hired Fertilizer Application Costs if it is not already included in the cost of the fertilizer entered in other locations in the budget sheet.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There is a soil test cost calculator on the Fertilizer Cost Calculator Sheet.</a:t>
          </a:r>
        </a:p>
        <a:p>
          <a:endParaRPr lang="en-US" sz="1000" baseline="0">
            <a:latin typeface="Arial" panose="020B0604020202020204" pitchFamily="34" charset="0"/>
            <a:cs typeface="Arial" panose="020B0604020202020204" pitchFamily="34" charset="0"/>
          </a:endParaRPr>
        </a:p>
      </xdr:txBody>
    </xdr:sp>
    <xdr:clientData/>
  </xdr:oneCellAnchor>
  <xdr:twoCellAnchor>
    <xdr:from>
      <xdr:col>7</xdr:col>
      <xdr:colOff>57149</xdr:colOff>
      <xdr:row>52</xdr:row>
      <xdr:rowOff>57149</xdr:rowOff>
    </xdr:from>
    <xdr:to>
      <xdr:col>16</xdr:col>
      <xdr:colOff>285750</xdr:colOff>
      <xdr:row>57</xdr:row>
      <xdr:rowOff>114300</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6819899" y="8572499"/>
          <a:ext cx="5181601" cy="866776"/>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a:t>
          </a:r>
          <a:r>
            <a:rPr lang="en-US" sz="1100" baseline="0"/>
            <a:t> price per 140,000 beans, 140,000 beans is the standard number of beans in a traditional "bag" of seed.</a:t>
          </a:r>
        </a:p>
        <a:p>
          <a:endParaRPr lang="en-US" sz="1100" baseline="0"/>
        </a:p>
        <a:p>
          <a:r>
            <a:rPr lang="en-US" sz="1100" baseline="0"/>
            <a:t>Cover crop seed should be the cover crop planted before this crop.</a:t>
          </a:r>
          <a:endParaRPr lang="en-US" sz="1100"/>
        </a:p>
      </xdr:txBody>
    </xdr:sp>
    <xdr:clientData/>
  </xdr:twoCellAnchor>
  <xdr:oneCellAnchor>
    <xdr:from>
      <xdr:col>15</xdr:col>
      <xdr:colOff>542925</xdr:colOff>
      <xdr:row>47</xdr:row>
      <xdr:rowOff>19050</xdr:rowOff>
    </xdr:from>
    <xdr:ext cx="184731" cy="264560"/>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1487150" y="882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28575</xdr:colOff>
      <xdr:row>61</xdr:row>
      <xdr:rowOff>0</xdr:rowOff>
    </xdr:from>
    <xdr:to>
      <xdr:col>16</xdr:col>
      <xdr:colOff>333375</xdr:colOff>
      <xdr:row>81</xdr:row>
      <xdr:rowOff>38100</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6591300" y="9667875"/>
          <a:ext cx="5257800" cy="3286125"/>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Pest control inputs are separated into pesticide</a:t>
          </a:r>
          <a:r>
            <a:rPr lang="en-US" sz="1100" baseline="0"/>
            <a:t> costs and the application costs. </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There are multiple lines for several pest control applications because some years may require additional passes depending on pest pressure. Be sure you are scouting the crops and using IPM determined thresholds to determine if applications are necessary.  When using these to project costs, include your average number of applications from past years.</a:t>
          </a:r>
          <a:endParaRPr lang="en-US">
            <a:effectLst/>
          </a:endParaRPr>
        </a:p>
        <a:p>
          <a:endParaRPr lang="en-US" sz="1100" baseline="0"/>
        </a:p>
        <a:p>
          <a:r>
            <a:rPr lang="en-US" sz="1100" baseline="0"/>
            <a:t>Use caution not to double count costs, some examples are:</a:t>
          </a:r>
        </a:p>
        <a:p>
          <a:endParaRPr lang="en-US" sz="1100" baseline="0"/>
        </a:p>
        <a:p>
          <a:r>
            <a:rPr lang="en-US" sz="1100" baseline="0"/>
            <a:t>Seed treatment, for example, the application cost may be covered by the planting cost which is in a separate section, and the seed treatment cost it's self may be in the seed cost.</a:t>
          </a:r>
        </a:p>
        <a:p>
          <a:endParaRPr lang="en-US" sz="1100" baseline="0"/>
        </a:p>
        <a:p>
          <a:r>
            <a:rPr lang="en-US" sz="1100" baseline="0"/>
            <a:t>Some products, like foliar insecticide could be tank mixed with an herbicide application depending on timing of need and application cost should only be included once.</a:t>
          </a:r>
        </a:p>
        <a:p>
          <a:endParaRPr lang="en-US" sz="1100" baseline="0"/>
        </a:p>
        <a:p>
          <a:r>
            <a:rPr lang="en-US" sz="1100" baseline="0"/>
            <a:t>*Include application costs here whether you apply your own or hire it done. </a:t>
          </a:r>
          <a:endParaRPr lang="en-US" sz="1100"/>
        </a:p>
      </xdr:txBody>
    </xdr:sp>
    <xdr:clientData/>
  </xdr:twoCellAnchor>
  <xdr:twoCellAnchor>
    <xdr:from>
      <xdr:col>6</xdr:col>
      <xdr:colOff>876299</xdr:colOff>
      <xdr:row>96</xdr:row>
      <xdr:rowOff>95251</xdr:rowOff>
    </xdr:from>
    <xdr:to>
      <xdr:col>19</xdr:col>
      <xdr:colOff>542924</xdr:colOff>
      <xdr:row>106</xdr:row>
      <xdr:rowOff>1</xdr:rowOff>
    </xdr:to>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6743699" y="15849601"/>
          <a:ext cx="7229475" cy="1543050"/>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budget is set up so that Preharvest and Harvest Operations include fuel, repairs, machine storage, insurance on machinery, labor, and depreciation.  Following are links to resources to help determine these costs.  The spreadsheet resources from Iowa State and Minnesota will help estimate these costs closer to user’s actual costs than average values in fact sheets and custom rate guides.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Machinery operation cost fact sheet estimates often use assumptions of annual acres of use that may not be close to users of this budget so their estimates may not accurately represent user’s actual costs.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Click on the left end cell of the links to the resources below to go to those web pages.</a:t>
          </a:r>
        </a:p>
        <a:p>
          <a:endParaRPr lang="en-US" sz="1100" baseline="0"/>
        </a:p>
        <a:p>
          <a:r>
            <a:rPr lang="en-US" sz="1100" baseline="0"/>
            <a:t> </a:t>
          </a:r>
          <a:endParaRPr lang="en-US" sz="1100"/>
        </a:p>
      </xdr:txBody>
    </xdr:sp>
    <xdr:clientData/>
  </xdr:twoCellAnchor>
  <xdr:oneCellAnchor>
    <xdr:from>
      <xdr:col>7</xdr:col>
      <xdr:colOff>63500</xdr:colOff>
      <xdr:row>88</xdr:row>
      <xdr:rowOff>127000</xdr:rowOff>
    </xdr:from>
    <xdr:ext cx="5199063" cy="571500"/>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6626225" y="15281275"/>
          <a:ext cx="5199063" cy="571500"/>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If</a:t>
          </a:r>
          <a:r>
            <a:rPr lang="en-US" sz="1100" baseline="0"/>
            <a:t> soil sampling and test costs are part of the nutrient management plan costs, or part of </a:t>
          </a:r>
        </a:p>
        <a:p>
          <a:r>
            <a:rPr lang="en-US" sz="1100" baseline="0"/>
            <a:t>crop scouting service, make sure to only enter them in once at the location of your choice.</a:t>
          </a:r>
          <a:endParaRPr lang="en-US" sz="1100"/>
        </a:p>
      </xdr:txBody>
    </xdr:sp>
    <xdr:clientData/>
  </xdr:oneCellAnchor>
  <xdr:twoCellAnchor>
    <xdr:from>
      <xdr:col>7</xdr:col>
      <xdr:colOff>17462</xdr:colOff>
      <xdr:row>123</xdr:row>
      <xdr:rowOff>101600</xdr:rowOff>
    </xdr:from>
    <xdr:to>
      <xdr:col>17</xdr:col>
      <xdr:colOff>341312</xdr:colOff>
      <xdr:row>126</xdr:row>
      <xdr:rowOff>125412</xdr:rowOff>
    </xdr:to>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6780212" y="20504150"/>
          <a:ext cx="5848350" cy="509587"/>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hauling section prorates a full load of what ever size truck is used to a per acre cost based on yield you enter above.</a:t>
          </a:r>
          <a:endParaRPr lang="en-US" sz="1100"/>
        </a:p>
      </xdr:txBody>
    </xdr:sp>
    <xdr:clientData/>
  </xdr:twoCellAnchor>
  <xdr:twoCellAnchor>
    <xdr:from>
      <xdr:col>7</xdr:col>
      <xdr:colOff>0</xdr:colOff>
      <xdr:row>12</xdr:row>
      <xdr:rowOff>0</xdr:rowOff>
    </xdr:from>
    <xdr:to>
      <xdr:col>16</xdr:col>
      <xdr:colOff>174625</xdr:colOff>
      <xdr:row>16</xdr:row>
      <xdr:rowOff>66675</xdr:rowOff>
    </xdr:to>
    <xdr:sp macro="" textlink="">
      <xdr:nvSpPr>
        <xdr:cNvPr id="11" name="TextBox 10">
          <a:extLst>
            <a:ext uri="{FF2B5EF4-FFF2-40B4-BE49-F238E27FC236}">
              <a16:creationId xmlns:a16="http://schemas.microsoft.com/office/drawing/2014/main" id="{00000000-0008-0000-0700-00000B000000}"/>
            </a:ext>
          </a:extLst>
        </xdr:cNvPr>
        <xdr:cNvSpPr txBox="1"/>
      </xdr:nvSpPr>
      <xdr:spPr>
        <a:xfrm>
          <a:off x="6562725" y="1714500"/>
          <a:ext cx="5127625" cy="714375"/>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This</a:t>
          </a:r>
          <a:r>
            <a:rPr lang="en-US" sz="1000" baseline="0">
              <a:latin typeface="Arial" panose="020B0604020202020204" pitchFamily="34" charset="0"/>
              <a:cs typeface="Arial" panose="020B0604020202020204" pitchFamily="34" charset="0"/>
            </a:rPr>
            <a:t> enterprise budget has example revenue and expense numbers in it.  Users need to put their own revenue and expenses into the spreadsheet.  All blue cells are set up for the user to enter in their own information.</a:t>
          </a:r>
          <a:endParaRPr lang="en-US" sz="1000">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91167</xdr:colOff>
      <xdr:row>0</xdr:row>
      <xdr:rowOff>34018</xdr:rowOff>
    </xdr:from>
    <xdr:to>
      <xdr:col>3</xdr:col>
      <xdr:colOff>83107</xdr:colOff>
      <xdr:row>4</xdr:row>
      <xdr:rowOff>1208</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67" y="34018"/>
          <a:ext cx="3954340" cy="595840"/>
        </a:xfrm>
        <a:prstGeom prst="rect">
          <a:avLst/>
        </a:prstGeom>
      </xdr:spPr>
    </xdr:pic>
    <xdr:clientData/>
  </xdr:twoCellAnchor>
  <xdr:oneCellAnchor>
    <xdr:from>
      <xdr:col>7</xdr:col>
      <xdr:colOff>57150</xdr:colOff>
      <xdr:row>18</xdr:row>
      <xdr:rowOff>19046</xdr:rowOff>
    </xdr:from>
    <xdr:ext cx="5143500" cy="6134103"/>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6619875" y="2952746"/>
          <a:ext cx="5143500" cy="6134103"/>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section is for determining costs, it is not a nutrient management planning tool.</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Some fertilizer input options in the budget will not be utilized for some crops.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Cost Calculator tab is a separate sheet that is set up to provide the user tools to easily calculate nutrient costs per pound of nutrient, or cost per acre of product for fertilizer additives.</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input section is set up with two options.  This is to try to make entry as simple as possible for users.  When entering fertilizer inputs, only enter them in one of the two sections so you do not double count them.</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first section is set up to calculate the cost based on the total pounds or gallons of each fertilizer product applied that is entered along with the corresponding price.  These fertilizer materials are often materials that are providing multiple nutrients with that product, like starters or blends such as 9-23-30.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second section is set up to calculate cost based on the pounds of actual nutrient applied per acre for the three primary nutrients.  In this section the pounds of actual nutrient are entered along with a price per lb. of nutrient.  The Fertilizer Cost Calculator tab is set up to calculate cost per lb. of nutrient.  There is a section of the Phosphorus cost/ lb. of nutrient calculator to help determine the cost of nitrogen that is a component of some common phosphorus fertilizer sources in the Fertilizer Cost Tab.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Use the N cost calculator in the P fertilizer section, (cell I47), on the Fertilizer Cost Calculator sheet to determine the cost for cell E38 on this page.</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manure line should be used to account for the cost of any purchased manure inputs and it's application.  Application of on farm produced manure should be accounted for in pre-harvest field operation costs.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Other fertilizer line can be used for micronutrients, or a combination of inputs not accounted for in the other fertilizer expense categories in the budget.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Include Custom hired Fertilizer Application Costs if it is not already included in the cost of the fertilizer entered in other locations in the budget sheet.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There is a soil test cost calculator on the Fertilizer Cost Calculator Sheet.</a:t>
          </a:r>
        </a:p>
        <a:p>
          <a:endParaRPr lang="en-US" sz="1000" baseline="0">
            <a:latin typeface="Arial" panose="020B0604020202020204" pitchFamily="34" charset="0"/>
            <a:cs typeface="Arial" panose="020B0604020202020204" pitchFamily="34" charset="0"/>
          </a:endParaRPr>
        </a:p>
      </xdr:txBody>
    </xdr:sp>
    <xdr:clientData/>
  </xdr:oneCellAnchor>
  <xdr:twoCellAnchor>
    <xdr:from>
      <xdr:col>7</xdr:col>
      <xdr:colOff>57149</xdr:colOff>
      <xdr:row>59</xdr:row>
      <xdr:rowOff>57149</xdr:rowOff>
    </xdr:from>
    <xdr:to>
      <xdr:col>16</xdr:col>
      <xdr:colOff>285750</xdr:colOff>
      <xdr:row>64</xdr:row>
      <xdr:rowOff>19050</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6896099" y="10058399"/>
          <a:ext cx="5181601" cy="771526"/>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a:t>
          </a:r>
          <a:r>
            <a:rPr lang="en-US" sz="1100" baseline="0"/>
            <a:t> price per bushel, and enter in seeding rate in bushels/ acre.</a:t>
          </a:r>
        </a:p>
        <a:p>
          <a:endParaRPr lang="en-US" sz="1100" baseline="0"/>
        </a:p>
        <a:p>
          <a:r>
            <a:rPr lang="en-US" sz="1100" baseline="0"/>
            <a:t>Cover crop seed should be the cover crop planted before this crop.</a:t>
          </a:r>
          <a:endParaRPr lang="en-US" sz="1100"/>
        </a:p>
      </xdr:txBody>
    </xdr:sp>
    <xdr:clientData/>
  </xdr:twoCellAnchor>
  <xdr:oneCellAnchor>
    <xdr:from>
      <xdr:col>15</xdr:col>
      <xdr:colOff>542925</xdr:colOff>
      <xdr:row>54</xdr:row>
      <xdr:rowOff>19050</xdr:rowOff>
    </xdr:from>
    <xdr:ext cx="184731" cy="264560"/>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11487150" y="882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28575</xdr:colOff>
      <xdr:row>68</xdr:row>
      <xdr:rowOff>0</xdr:rowOff>
    </xdr:from>
    <xdr:to>
      <xdr:col>16</xdr:col>
      <xdr:colOff>333375</xdr:colOff>
      <xdr:row>88</xdr:row>
      <xdr:rowOff>104775</xdr:rowOff>
    </xdr:to>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6591300" y="11153775"/>
          <a:ext cx="5257800" cy="3352800"/>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Pest control inputs are separated into pesticide</a:t>
          </a:r>
          <a:r>
            <a:rPr lang="en-US" sz="1100" baseline="0"/>
            <a:t> costs and the application costs. </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There are multiple lines for several pest control applications because some years may require additional passes depending on pest pressure. Be sure you are scouting the crops and using IPM determined thresholds to determine if applications are necessary.  When using these to project costs, include your average number of applications from past years.</a:t>
          </a:r>
          <a:endParaRPr lang="en-US">
            <a:effectLst/>
          </a:endParaRPr>
        </a:p>
        <a:p>
          <a:endParaRPr lang="en-US" sz="1100" baseline="0"/>
        </a:p>
        <a:p>
          <a:r>
            <a:rPr lang="en-US" sz="1100" baseline="0"/>
            <a:t>Use caution not to double count costs, some examples are:</a:t>
          </a:r>
        </a:p>
        <a:p>
          <a:endParaRPr lang="en-US" sz="1100" baseline="0"/>
        </a:p>
        <a:p>
          <a:r>
            <a:rPr lang="en-US" sz="1100" baseline="0"/>
            <a:t>Seed treatment, for example, the application cost may be covered by the planting cost which is in a separate section, and the seed treatment cost it's self may be in the seed cost.</a:t>
          </a:r>
        </a:p>
        <a:p>
          <a:endParaRPr lang="en-US" sz="1100" baseline="0"/>
        </a:p>
        <a:p>
          <a:r>
            <a:rPr lang="en-US" sz="1100" baseline="0"/>
            <a:t>Some products, like foliar insecticide could be tank mixed with an herbicide application depending on timing of need and application cost should only be included once.</a:t>
          </a:r>
        </a:p>
        <a:p>
          <a:endParaRPr lang="en-US" sz="1100" baseline="0"/>
        </a:p>
        <a:p>
          <a:r>
            <a:rPr lang="en-US" sz="1100" baseline="0"/>
            <a:t>*Include application costs here whether you apply your own or hire it done. </a:t>
          </a:r>
          <a:endParaRPr lang="en-US" sz="1100"/>
        </a:p>
      </xdr:txBody>
    </xdr:sp>
    <xdr:clientData/>
  </xdr:twoCellAnchor>
  <xdr:twoCellAnchor>
    <xdr:from>
      <xdr:col>6</xdr:col>
      <xdr:colOff>847724</xdr:colOff>
      <xdr:row>106</xdr:row>
      <xdr:rowOff>9526</xdr:rowOff>
    </xdr:from>
    <xdr:to>
      <xdr:col>19</xdr:col>
      <xdr:colOff>514349</xdr:colOff>
      <xdr:row>114</xdr:row>
      <xdr:rowOff>161926</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6791324" y="17735551"/>
          <a:ext cx="7229475" cy="1485900"/>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budget is set up so that Preharvest and Harvest Operations include fuel, repairs, machine storage, insurance on machinery, labor, and depreciation.  Following are links to resources to help determine these costs.  The spreadsheet resources from Iowa State and Minnesota will help estimate these costs closer to user’s actual costs than average values in fact sheets and custom rate guides.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Machinery operation cost fact sheet estimates often use assumptions of annual acres of use that may not be close to users of this budget so their estimates may not accurately represent user’s actual costs.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Click on the left end cell of the links to the resources below to go to those web pages.</a:t>
          </a:r>
        </a:p>
        <a:p>
          <a:endParaRPr lang="en-US" sz="1100" baseline="0"/>
        </a:p>
        <a:p>
          <a:r>
            <a:rPr lang="en-US" sz="1100" baseline="0"/>
            <a:t> </a:t>
          </a:r>
          <a:endParaRPr lang="en-US" sz="1100"/>
        </a:p>
      </xdr:txBody>
    </xdr:sp>
    <xdr:clientData/>
  </xdr:twoCellAnchor>
  <xdr:oneCellAnchor>
    <xdr:from>
      <xdr:col>7</xdr:col>
      <xdr:colOff>63500</xdr:colOff>
      <xdr:row>95</xdr:row>
      <xdr:rowOff>127000</xdr:rowOff>
    </xdr:from>
    <xdr:ext cx="5199063" cy="571500"/>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6626225" y="15281275"/>
          <a:ext cx="5199063" cy="571500"/>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If</a:t>
          </a:r>
          <a:r>
            <a:rPr lang="en-US" sz="1100" baseline="0"/>
            <a:t> soil sampling and test costs are part of the nutrient management plan costs, or part of </a:t>
          </a:r>
        </a:p>
        <a:p>
          <a:r>
            <a:rPr lang="en-US" sz="1100" baseline="0"/>
            <a:t>crop scouting service, make sure to only enter them in once at the location of your choice.</a:t>
          </a:r>
          <a:endParaRPr lang="en-US" sz="1100"/>
        </a:p>
      </xdr:txBody>
    </xdr:sp>
    <xdr:clientData/>
  </xdr:oneCellAnchor>
  <xdr:twoCellAnchor>
    <xdr:from>
      <xdr:col>6</xdr:col>
      <xdr:colOff>865187</xdr:colOff>
      <xdr:row>141</xdr:row>
      <xdr:rowOff>111125</xdr:rowOff>
    </xdr:from>
    <xdr:to>
      <xdr:col>17</xdr:col>
      <xdr:colOff>293687</xdr:colOff>
      <xdr:row>144</xdr:row>
      <xdr:rowOff>134937</xdr:rowOff>
    </xdr:to>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6532562" y="20389850"/>
          <a:ext cx="5848350" cy="509587"/>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hauling section prorates a full load of what ever size truck is used to a per acre cost based on yield you enter above.</a:t>
          </a:r>
          <a:endParaRPr lang="en-US" sz="1100"/>
        </a:p>
      </xdr:txBody>
    </xdr:sp>
    <xdr:clientData/>
  </xdr:twoCellAnchor>
  <xdr:twoCellAnchor>
    <xdr:from>
      <xdr:col>7</xdr:col>
      <xdr:colOff>9525</xdr:colOff>
      <xdr:row>161</xdr:row>
      <xdr:rowOff>142875</xdr:rowOff>
    </xdr:from>
    <xdr:to>
      <xdr:col>18</xdr:col>
      <xdr:colOff>180975</xdr:colOff>
      <xdr:row>164</xdr:row>
      <xdr:rowOff>0</xdr:rowOff>
    </xdr:to>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6572250" y="26498550"/>
          <a:ext cx="6267450" cy="342900"/>
        </a:xfrm>
        <a:prstGeom prst="rect">
          <a:avLst/>
        </a:prstGeom>
        <a:solidFill>
          <a:srgbClr val="F0F0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Grain expense</a:t>
          </a:r>
          <a:r>
            <a:rPr lang="en-US" sz="1100" baseline="0"/>
            <a:t>s in this budget include all expenses except straw harvest, hauling, and storage expenses.</a:t>
          </a:r>
          <a:endParaRPr lang="en-US" sz="1100"/>
        </a:p>
      </xdr:txBody>
    </xdr:sp>
    <xdr:clientData/>
  </xdr:twoCellAnchor>
  <xdr:twoCellAnchor>
    <xdr:from>
      <xdr:col>7</xdr:col>
      <xdr:colOff>0</xdr:colOff>
      <xdr:row>12</xdr:row>
      <xdr:rowOff>0</xdr:rowOff>
    </xdr:from>
    <xdr:to>
      <xdr:col>16</xdr:col>
      <xdr:colOff>174625</xdr:colOff>
      <xdr:row>16</xdr:row>
      <xdr:rowOff>66675</xdr:rowOff>
    </xdr:to>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6562725" y="1962150"/>
          <a:ext cx="5127625" cy="714375"/>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This</a:t>
          </a:r>
          <a:r>
            <a:rPr lang="en-US" sz="1000" baseline="0">
              <a:latin typeface="Arial" panose="020B0604020202020204" pitchFamily="34" charset="0"/>
              <a:cs typeface="Arial" panose="020B0604020202020204" pitchFamily="34" charset="0"/>
            </a:rPr>
            <a:t> enterprise budget has example revenue and expense numbers in it.  Users need to put their own revenue and expenses into the spreadsheet.  All blue cells are set up for the user to enter in their own information.</a:t>
          </a:r>
          <a:endParaRPr lang="en-US" sz="1000">
            <a:latin typeface="Arial" panose="020B0604020202020204" pitchFamily="34" charset="0"/>
            <a:cs typeface="Arial" panose="020B0604020202020204" pitchFamily="34" charset="0"/>
          </a:endParaRPr>
        </a:p>
      </xdr:txBody>
    </xdr:sp>
    <xdr:clientData/>
  </xdr:twoCellAnchor>
  <xdr:oneCellAnchor>
    <xdr:from>
      <xdr:col>7</xdr:col>
      <xdr:colOff>257175</xdr:colOff>
      <xdr:row>169</xdr:row>
      <xdr:rowOff>66675</xdr:rowOff>
    </xdr:from>
    <xdr:ext cx="6649513" cy="264560"/>
    <xdr:sp macro="" textlink="">
      <xdr:nvSpPr>
        <xdr:cNvPr id="11" name="TextBox 10">
          <a:extLst>
            <a:ext uri="{FF2B5EF4-FFF2-40B4-BE49-F238E27FC236}">
              <a16:creationId xmlns:a16="http://schemas.microsoft.com/office/drawing/2014/main" id="{00000000-0008-0000-0800-00000B000000}"/>
            </a:ext>
          </a:extLst>
        </xdr:cNvPr>
        <xdr:cNvSpPr txBox="1"/>
      </xdr:nvSpPr>
      <xdr:spPr>
        <a:xfrm>
          <a:off x="7086600" y="28041600"/>
          <a:ext cx="6649513" cy="264560"/>
        </a:xfrm>
        <a:prstGeom prst="rect">
          <a:avLst/>
        </a:prstGeom>
        <a:solidFill>
          <a:srgbClr val="F0F09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The sensitivity analysis</a:t>
          </a:r>
          <a:r>
            <a:rPr lang="en-US" sz="1100" baseline="0"/>
            <a:t> is only for grain yield and price.  Straw value is kept constant at what is entered at the top</a:t>
          </a: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91167</xdr:colOff>
      <xdr:row>0</xdr:row>
      <xdr:rowOff>34018</xdr:rowOff>
    </xdr:from>
    <xdr:to>
      <xdr:col>2</xdr:col>
      <xdr:colOff>849870</xdr:colOff>
      <xdr:row>4</xdr:row>
      <xdr:rowOff>1208</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67" y="34018"/>
          <a:ext cx="3954340" cy="595840"/>
        </a:xfrm>
        <a:prstGeom prst="rect">
          <a:avLst/>
        </a:prstGeom>
      </xdr:spPr>
    </xdr:pic>
    <xdr:clientData/>
  </xdr:twoCellAnchor>
  <xdr:oneCellAnchor>
    <xdr:from>
      <xdr:col>7</xdr:col>
      <xdr:colOff>19050</xdr:colOff>
      <xdr:row>24</xdr:row>
      <xdr:rowOff>19046</xdr:rowOff>
    </xdr:from>
    <xdr:ext cx="5143500" cy="5962653"/>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6953250" y="3695696"/>
          <a:ext cx="5143500" cy="5962653"/>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section is for determining costs, it is not a nutrient management planning tool.</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Some fertilizer input options in the budget will not be utilized for some crops.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Cost Calculator tab is a separate sheet that is set up to provide the user tools to easily calculate nutrient costs per pound of nutrient, or cost per acre of product for fertilizer additives.</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input section is set up with two options.  This is to try to make entry as simple as possible for users.  When entering fertilizer inputs, only enter them in one of the two sections so you do not double count them.</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first section is set up to calculate the cost based on the total pounds or gallons of each fertilizer product applied that is entered along with the corresponding price.  These fertilizer materials are often materials that are providing multiple nutrients with that product, like starters or blends such as 9-23-30.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second section is set up to calculate cost based on the pounds of actual nutrient applied per acre for the three primary nutrients.  In this section the pounds of actual nutrient are entered along with a price per lb. of nutrient.  The Fertilizer Cost Calculator tab is set up to calculate cost per lb. of nutrient.  There is a section of the Phosphorus cost/ lb. of nutrient calculator to help determine the cost of nitrogen that is a component of some common phosphorus fertilizer sources in the Fertilizer Cost Tab.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Use the N cost calculator in the P fertilizer section, (cell I47), on the Fertilizer Cost Calculator sheet to determine the cost for cell E39 on this page.</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manure line should be used to account for the cost of any purchased manure inputs and it's application.  Application of on farm produced manure should be accounted for in pre-harvest field operation costs.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Other fertilizer line can be used for micronutrients, or a combination of inputs not accounted for in the other fertilizer expense categories in the budget.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Include Custom hired Fertilizer Application Costs if it is not already included in the cost of the fertilizer entered in other locations in the budget sheet.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There is a soil test cost calculator on the Fertilizer Cost Calculator Sheet.</a:t>
          </a:r>
        </a:p>
        <a:p>
          <a:endParaRPr lang="en-US" sz="1000" baseline="0">
            <a:latin typeface="Arial" panose="020B0604020202020204" pitchFamily="34" charset="0"/>
            <a:cs typeface="Arial" panose="020B0604020202020204" pitchFamily="34" charset="0"/>
          </a:endParaRPr>
        </a:p>
      </xdr:txBody>
    </xdr:sp>
    <xdr:clientData/>
  </xdr:oneCellAnchor>
  <xdr:twoCellAnchor>
    <xdr:from>
      <xdr:col>7</xdr:col>
      <xdr:colOff>57149</xdr:colOff>
      <xdr:row>60</xdr:row>
      <xdr:rowOff>57150</xdr:rowOff>
    </xdr:from>
    <xdr:to>
      <xdr:col>16</xdr:col>
      <xdr:colOff>285750</xdr:colOff>
      <xdr:row>72</xdr:row>
      <xdr:rowOff>95250</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7848599" y="10267950"/>
          <a:ext cx="5910264" cy="2000250"/>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a:t>
          </a:r>
          <a:r>
            <a:rPr lang="en-US" sz="1100" baseline="0"/>
            <a:t> price for alfalfa and other perennial seed per 50 lb bag basis, and enter in the pounds of seed planted per acre.</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If you want to pro-rate perennial seed costs over the entire life of the stand enter the </a:t>
          </a:r>
          <a:r>
            <a:rPr lang="en-US" sz="1100" b="1" baseline="0">
              <a:solidFill>
                <a:schemeClr val="dk1"/>
              </a:solidFill>
              <a:effectLst/>
              <a:latin typeface="+mn-lt"/>
              <a:ea typeface="+mn-ea"/>
              <a:cs typeface="+mn-cs"/>
            </a:rPr>
            <a:t>Expected years of stand </a:t>
          </a:r>
          <a:r>
            <a:rPr lang="en-US" sz="1100" baseline="0">
              <a:solidFill>
                <a:schemeClr val="dk1"/>
              </a:solidFill>
              <a:effectLst/>
              <a:latin typeface="+mn-lt"/>
              <a:ea typeface="+mn-ea"/>
              <a:cs typeface="+mn-cs"/>
            </a:rPr>
            <a:t>life in that cell, if you want to assign entire seed costs only to the establishment year enter a 1 in </a:t>
          </a:r>
          <a:r>
            <a:rPr lang="en-US" sz="1100" b="1" baseline="0">
              <a:solidFill>
                <a:schemeClr val="dk1"/>
              </a:solidFill>
              <a:effectLst/>
              <a:latin typeface="+mn-lt"/>
              <a:ea typeface="+mn-ea"/>
              <a:cs typeface="+mn-cs"/>
            </a:rPr>
            <a:t>Expected years of stand</a:t>
          </a:r>
          <a:endParaRPr lang="en-US">
            <a:effectLst/>
          </a:endParaRPr>
        </a:p>
        <a:p>
          <a:endParaRPr lang="en-US" sz="1100" baseline="0"/>
        </a:p>
        <a:p>
          <a:r>
            <a:rPr lang="en-US" sz="1100" baseline="0"/>
            <a:t>Nurse crop seed could be the cover crop planted before this crop, or it may be a separate planting.</a:t>
          </a:r>
        </a:p>
        <a:p>
          <a:r>
            <a:rPr lang="en-US" sz="1100" baseline="0"/>
            <a:t>Enter in the price per bushel or per pound along with the seeding rate. All cover crops and nurse crop seed costs will be credited to the seeding year.</a:t>
          </a:r>
        </a:p>
        <a:p>
          <a:endParaRPr lang="en-US" sz="1100" baseline="0"/>
        </a:p>
      </xdr:txBody>
    </xdr:sp>
    <xdr:clientData/>
  </xdr:twoCellAnchor>
  <xdr:oneCellAnchor>
    <xdr:from>
      <xdr:col>15</xdr:col>
      <xdr:colOff>542925</xdr:colOff>
      <xdr:row>55</xdr:row>
      <xdr:rowOff>19050</xdr:rowOff>
    </xdr:from>
    <xdr:ext cx="184731" cy="264560"/>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11487150" y="882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28575</xdr:colOff>
      <xdr:row>74</xdr:row>
      <xdr:rowOff>0</xdr:rowOff>
    </xdr:from>
    <xdr:to>
      <xdr:col>16</xdr:col>
      <xdr:colOff>333375</xdr:colOff>
      <xdr:row>93</xdr:row>
      <xdr:rowOff>23812</xdr:rowOff>
    </xdr:to>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6672263" y="11453813"/>
          <a:ext cx="5599112" cy="3055937"/>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Pest control inputs are separated into pesticide</a:t>
          </a:r>
          <a:r>
            <a:rPr lang="en-US" sz="1100" baseline="0"/>
            <a:t> costs and the application costs. </a:t>
          </a:r>
        </a:p>
        <a:p>
          <a:endParaRPr lang="en-US" sz="1100" baseline="0"/>
        </a:p>
        <a:p>
          <a:r>
            <a:rPr lang="en-US" sz="1100" b="1" baseline="0"/>
            <a:t>There are multiple lines for several pest control applications because some years may require additional passes depending on pest pressure. Be sure you are scouting the crops and using IPM determined thresholds to determine if applications are necessary.  When using these to project costs, include your average number of applications from past years.</a:t>
          </a:r>
        </a:p>
        <a:p>
          <a:endParaRPr lang="en-US" sz="1100" b="1" baseline="0"/>
        </a:p>
        <a:p>
          <a:r>
            <a:rPr lang="en-US" sz="1100" baseline="0"/>
            <a:t>Use caution not to double count costs, some examples are:</a:t>
          </a:r>
        </a:p>
        <a:p>
          <a:endParaRPr lang="en-US" sz="1100" baseline="0"/>
        </a:p>
        <a:p>
          <a:r>
            <a:rPr lang="en-US" sz="1100" baseline="0"/>
            <a:t>Seed treatment, for example, the application cost may be covered by the planting cost which is in a separate section, and the seed treatment cost it's self may be in the seed cost.</a:t>
          </a:r>
        </a:p>
        <a:p>
          <a:endParaRPr lang="en-US" sz="1100" baseline="0"/>
        </a:p>
        <a:p>
          <a:r>
            <a:rPr lang="en-US" sz="1100" baseline="0"/>
            <a:t>Some products, like foliar insecticide could be tank mixed with an herbicide application depending on timing of need and application cost should only be included once.</a:t>
          </a:r>
        </a:p>
        <a:p>
          <a:endParaRPr lang="en-US" sz="1100" baseline="0"/>
        </a:p>
        <a:p>
          <a:r>
            <a:rPr lang="en-US" sz="1100" baseline="0"/>
            <a:t>*Include application costs here whether you apply your own or hire it done. </a:t>
          </a:r>
          <a:endParaRPr lang="en-US" sz="1100"/>
        </a:p>
      </xdr:txBody>
    </xdr:sp>
    <xdr:clientData/>
  </xdr:twoCellAnchor>
  <xdr:twoCellAnchor>
    <xdr:from>
      <xdr:col>7</xdr:col>
      <xdr:colOff>28574</xdr:colOff>
      <xdr:row>119</xdr:row>
      <xdr:rowOff>19051</xdr:rowOff>
    </xdr:from>
    <xdr:to>
      <xdr:col>20</xdr:col>
      <xdr:colOff>19049</xdr:colOff>
      <xdr:row>128</xdr:row>
      <xdr:rowOff>19051</xdr:rowOff>
    </xdr:to>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7305674" y="19116676"/>
          <a:ext cx="7572375" cy="1504950"/>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budget is set up so that Preharvest and Harvest Operations include fuel, repairs, machine storage, insurance on machinery, labor, and depreciation.  Following are links to resources to help determine these costs.  The spreadsheet resources from Iowa State and Minnesota will help estimate these costs closer to user’s actual costs than average values in fact sheets and custom rate guides.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Machinery operation cost fact sheet estimates often use assumptions of annual acres of use that may not be close to users of this budget so their estimates may not accurately represent user’s actual costs.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Click on the left end cell of the links to the resources below to go to those web pages.</a:t>
          </a:r>
        </a:p>
        <a:p>
          <a:endParaRPr lang="en-US" sz="1100"/>
        </a:p>
      </xdr:txBody>
    </xdr:sp>
    <xdr:clientData/>
  </xdr:twoCellAnchor>
  <xdr:oneCellAnchor>
    <xdr:from>
      <xdr:col>7</xdr:col>
      <xdr:colOff>63500</xdr:colOff>
      <xdr:row>107</xdr:row>
      <xdr:rowOff>127000</xdr:rowOff>
    </xdr:from>
    <xdr:ext cx="5199063" cy="571500"/>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6626225" y="15281275"/>
          <a:ext cx="5199063" cy="571500"/>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If</a:t>
          </a:r>
          <a:r>
            <a:rPr lang="en-US" sz="1100" baseline="0"/>
            <a:t> soil sampling and test costs are part of the nutrient management plan costs, or part of </a:t>
          </a:r>
        </a:p>
        <a:p>
          <a:r>
            <a:rPr lang="en-US" sz="1100" baseline="0"/>
            <a:t>crop scouting service, make sure to only enter them in once at the location of your choice.</a:t>
          </a:r>
          <a:endParaRPr lang="en-US" sz="1100"/>
        </a:p>
      </xdr:txBody>
    </xdr:sp>
    <xdr:clientData/>
  </xdr:oneCellAnchor>
  <xdr:twoCellAnchor>
    <xdr:from>
      <xdr:col>6</xdr:col>
      <xdr:colOff>865187</xdr:colOff>
      <xdr:row>173</xdr:row>
      <xdr:rowOff>111125</xdr:rowOff>
    </xdr:from>
    <xdr:to>
      <xdr:col>17</xdr:col>
      <xdr:colOff>293687</xdr:colOff>
      <xdr:row>176</xdr:row>
      <xdr:rowOff>134937</xdr:rowOff>
    </xdr:to>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6532562" y="20389850"/>
          <a:ext cx="5848350" cy="509587"/>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hauling section prorates a full load of what ever size turck is used to a per acre cost based on total yield  enter above.</a:t>
          </a:r>
          <a:endParaRPr lang="en-US" sz="1100"/>
        </a:p>
      </xdr:txBody>
    </xdr:sp>
    <xdr:clientData/>
  </xdr:twoCellAnchor>
  <xdr:twoCellAnchor>
    <xdr:from>
      <xdr:col>6</xdr:col>
      <xdr:colOff>857251</xdr:colOff>
      <xdr:row>177</xdr:row>
      <xdr:rowOff>155865</xdr:rowOff>
    </xdr:from>
    <xdr:to>
      <xdr:col>17</xdr:col>
      <xdr:colOff>381000</xdr:colOff>
      <xdr:row>179</xdr:row>
      <xdr:rowOff>95250</xdr:rowOff>
    </xdr:to>
    <xdr:sp macro="" textlink="">
      <xdr:nvSpPr>
        <xdr:cNvPr id="10" name="TextBox 9">
          <a:extLst>
            <a:ext uri="{FF2B5EF4-FFF2-40B4-BE49-F238E27FC236}">
              <a16:creationId xmlns:a16="http://schemas.microsoft.com/office/drawing/2014/main" id="{00000000-0008-0000-0900-00000A000000}"/>
            </a:ext>
          </a:extLst>
        </xdr:cNvPr>
        <xdr:cNvSpPr txBox="1"/>
      </xdr:nvSpPr>
      <xdr:spPr>
        <a:xfrm>
          <a:off x="6591301" y="23673090"/>
          <a:ext cx="5943599" cy="263235"/>
        </a:xfrm>
        <a:prstGeom prst="rect">
          <a:avLst/>
        </a:prstGeom>
        <a:solidFill>
          <a:srgbClr val="F0F0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Bags and covers price per acre</a:t>
          </a:r>
          <a:r>
            <a:rPr lang="en-US" sz="1100" baseline="0"/>
            <a:t> pro-rate the expense based on yield entered at the top</a:t>
          </a:r>
          <a:endParaRPr lang="en-US" sz="1100"/>
        </a:p>
      </xdr:txBody>
    </xdr:sp>
    <xdr:clientData/>
  </xdr:twoCellAnchor>
  <xdr:twoCellAnchor>
    <xdr:from>
      <xdr:col>7</xdr:col>
      <xdr:colOff>19050</xdr:colOff>
      <xdr:row>147</xdr:row>
      <xdr:rowOff>133350</xdr:rowOff>
    </xdr:from>
    <xdr:to>
      <xdr:col>20</xdr:col>
      <xdr:colOff>57150</xdr:colOff>
      <xdr:row>166</xdr:row>
      <xdr:rowOff>0</xdr:rowOff>
    </xdr:to>
    <xdr:sp macro="" textlink="">
      <xdr:nvSpPr>
        <xdr:cNvPr id="11" name="TextBox 10">
          <a:extLst>
            <a:ext uri="{FF2B5EF4-FFF2-40B4-BE49-F238E27FC236}">
              <a16:creationId xmlns:a16="http://schemas.microsoft.com/office/drawing/2014/main" id="{00000000-0008-0000-0900-00000B000000}"/>
            </a:ext>
          </a:extLst>
        </xdr:cNvPr>
        <xdr:cNvSpPr txBox="1"/>
      </xdr:nvSpPr>
      <xdr:spPr>
        <a:xfrm>
          <a:off x="7296150" y="24507825"/>
          <a:ext cx="7620000" cy="2943225"/>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budget</a:t>
          </a:r>
          <a:r>
            <a:rPr lang="en-US" sz="1100" baseline="0"/>
            <a:t> tool is set up to allow entry of harvest costs on per acre, per hour, per bale and per ton basis due to the many ways that these costs may be known or billed for.  </a:t>
          </a:r>
        </a:p>
        <a:p>
          <a:endParaRPr lang="en-US" sz="1100" baseline="0"/>
        </a:p>
        <a:p>
          <a:r>
            <a:rPr lang="en-US" sz="1100" baseline="0"/>
            <a:t>It is neccessary to use careful consideration to accurately account for the harvest costs without missing or double counting expenses by unintetionally entering the cost in more than one place.  Some operations may be used on some cuttings, but not all cuttings.  For example in a 3 cutting example, two of the cuttings may be chopped and a third cutting made into big bale silage. </a:t>
          </a:r>
        </a:p>
        <a:p>
          <a:r>
            <a:rPr lang="en-US" sz="1100" baseline="0"/>
            <a:t>When entering it will be nessessary to privide a reasonable estimate on the number of bales per acre per year and number of tons per acre per year because multiple harvesting methods could be used, such as in the example given earlier in this paragraph.</a:t>
          </a:r>
        </a:p>
        <a:p>
          <a:endParaRPr lang="en-US" sz="1100" baseline="0"/>
        </a:p>
        <a:p>
          <a:r>
            <a:rPr lang="en-US" sz="1100" baseline="0"/>
            <a:t>To assist with the estimate the following table shows a percentage of total annual yield by cutting.</a:t>
          </a:r>
        </a:p>
        <a:p>
          <a:endParaRPr lang="en-US" sz="1100" baseline="0"/>
        </a:p>
        <a:p>
          <a:r>
            <a:rPr lang="en-US" sz="1100" u="sng" baseline="0"/>
            <a:t>cutting	3 cuttings	4 cuttings</a:t>
          </a:r>
        </a:p>
        <a:p>
          <a:r>
            <a:rPr lang="en-US" sz="1100" u="none" baseline="0"/>
            <a:t>1st	46%	36%</a:t>
          </a:r>
        </a:p>
        <a:p>
          <a:r>
            <a:rPr lang="en-US" sz="1100" u="none" baseline="0"/>
            <a:t>2nd	28%	25%</a:t>
          </a:r>
        </a:p>
        <a:p>
          <a:r>
            <a:rPr lang="en-US" sz="1100" u="none" baseline="0"/>
            <a:t>3rd	26%	21%</a:t>
          </a:r>
        </a:p>
        <a:p>
          <a:r>
            <a:rPr lang="en-US" sz="1100" u="none" baseline="0"/>
            <a:t>4th		18%</a:t>
          </a:r>
        </a:p>
      </xdr:txBody>
    </xdr:sp>
    <xdr:clientData/>
  </xdr:twoCellAnchor>
  <xdr:twoCellAnchor>
    <xdr:from>
      <xdr:col>7</xdr:col>
      <xdr:colOff>19050</xdr:colOff>
      <xdr:row>196</xdr:row>
      <xdr:rowOff>85725</xdr:rowOff>
    </xdr:from>
    <xdr:to>
      <xdr:col>18</xdr:col>
      <xdr:colOff>114300</xdr:colOff>
      <xdr:row>199</xdr:row>
      <xdr:rowOff>38100</xdr:rowOff>
    </xdr:to>
    <xdr:sp macro="" textlink="">
      <xdr:nvSpPr>
        <xdr:cNvPr id="12" name="TextBox 11">
          <a:extLst>
            <a:ext uri="{FF2B5EF4-FFF2-40B4-BE49-F238E27FC236}">
              <a16:creationId xmlns:a16="http://schemas.microsoft.com/office/drawing/2014/main" id="{00000000-0008-0000-0900-00000C000000}"/>
            </a:ext>
          </a:extLst>
        </xdr:cNvPr>
        <xdr:cNvSpPr txBox="1"/>
      </xdr:nvSpPr>
      <xdr:spPr>
        <a:xfrm>
          <a:off x="6791325" y="31680150"/>
          <a:ext cx="6534150" cy="457200"/>
        </a:xfrm>
        <a:prstGeom prst="rect">
          <a:avLst/>
        </a:prstGeom>
        <a:solidFill>
          <a:srgbClr val="F0F0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Breakevens</a:t>
          </a:r>
          <a:r>
            <a:rPr lang="en-US" sz="1100" baseline="0"/>
            <a:t> are calculated on total tons for forage harvested per acre including nurse crop forage if a yield is entered.</a:t>
          </a:r>
          <a:endParaRPr lang="en-US" sz="1100"/>
        </a:p>
      </xdr:txBody>
    </xdr:sp>
    <xdr:clientData/>
  </xdr:twoCellAnchor>
  <xdr:twoCellAnchor>
    <xdr:from>
      <xdr:col>7</xdr:col>
      <xdr:colOff>0</xdr:colOff>
      <xdr:row>18</xdr:row>
      <xdr:rowOff>0</xdr:rowOff>
    </xdr:from>
    <xdr:to>
      <xdr:col>15</xdr:col>
      <xdr:colOff>403225</xdr:colOff>
      <xdr:row>22</xdr:row>
      <xdr:rowOff>47625</xdr:rowOff>
    </xdr:to>
    <xdr:sp macro="" textlink="">
      <xdr:nvSpPr>
        <xdr:cNvPr id="13" name="TextBox 12">
          <a:extLst>
            <a:ext uri="{FF2B5EF4-FFF2-40B4-BE49-F238E27FC236}">
              <a16:creationId xmlns:a16="http://schemas.microsoft.com/office/drawing/2014/main" id="{00000000-0008-0000-0900-00000D000000}"/>
            </a:ext>
          </a:extLst>
        </xdr:cNvPr>
        <xdr:cNvSpPr txBox="1"/>
      </xdr:nvSpPr>
      <xdr:spPr>
        <a:xfrm>
          <a:off x="6934200" y="2686050"/>
          <a:ext cx="5127625" cy="714375"/>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This</a:t>
          </a:r>
          <a:r>
            <a:rPr lang="en-US" sz="1000" baseline="0">
              <a:latin typeface="Arial" panose="020B0604020202020204" pitchFamily="34" charset="0"/>
              <a:cs typeface="Arial" panose="020B0604020202020204" pitchFamily="34" charset="0"/>
            </a:rPr>
            <a:t> enterprise budget has example revenue and expense numbers in it.  Users need to put thire own revenue and expenses into the spreadsheet.  All blue cells are set up for the user to enter in their own information.</a:t>
          </a:r>
          <a:endParaRPr lang="en-US" sz="1000">
            <a:latin typeface="Arial" panose="020B0604020202020204" pitchFamily="34" charset="0"/>
            <a:cs typeface="Arial" panose="020B0604020202020204" pitchFamily="34" charset="0"/>
          </a:endParaRPr>
        </a:p>
      </xdr:txBody>
    </xdr:sp>
    <xdr:clientData/>
  </xdr:twoCellAnchor>
  <xdr:oneCellAnchor>
    <xdr:from>
      <xdr:col>7</xdr:col>
      <xdr:colOff>133350</xdr:colOff>
      <xdr:row>201</xdr:row>
      <xdr:rowOff>114300</xdr:rowOff>
    </xdr:from>
    <xdr:ext cx="7708713" cy="264560"/>
    <xdr:sp macro="" textlink="">
      <xdr:nvSpPr>
        <xdr:cNvPr id="14" name="TextBox 13">
          <a:extLst>
            <a:ext uri="{FF2B5EF4-FFF2-40B4-BE49-F238E27FC236}">
              <a16:creationId xmlns:a16="http://schemas.microsoft.com/office/drawing/2014/main" id="{00000000-0008-0000-0900-00000E000000}"/>
            </a:ext>
          </a:extLst>
        </xdr:cNvPr>
        <xdr:cNvSpPr txBox="1"/>
      </xdr:nvSpPr>
      <xdr:spPr>
        <a:xfrm>
          <a:off x="7410450" y="33251775"/>
          <a:ext cx="7708713" cy="264560"/>
        </a:xfrm>
        <a:prstGeom prst="rect">
          <a:avLst/>
        </a:prstGeom>
        <a:solidFill>
          <a:srgbClr val="F0F09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The sensitivity analysis is only for primary forage price and yield. The</a:t>
          </a:r>
          <a:r>
            <a:rPr lang="en-US" sz="1100" baseline="0"/>
            <a:t> nurse crop value is held constant to what is entered at the top</a:t>
          </a: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91167</xdr:colOff>
      <xdr:row>0</xdr:row>
      <xdr:rowOff>34018</xdr:rowOff>
    </xdr:from>
    <xdr:to>
      <xdr:col>2</xdr:col>
      <xdr:colOff>621270</xdr:colOff>
      <xdr:row>4</xdr:row>
      <xdr:rowOff>1208</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67" y="34018"/>
          <a:ext cx="3730503" cy="567265"/>
        </a:xfrm>
        <a:prstGeom prst="rect">
          <a:avLst/>
        </a:prstGeom>
      </xdr:spPr>
    </xdr:pic>
    <xdr:clientData/>
  </xdr:twoCellAnchor>
  <xdr:oneCellAnchor>
    <xdr:from>
      <xdr:col>7</xdr:col>
      <xdr:colOff>19050</xdr:colOff>
      <xdr:row>24</xdr:row>
      <xdr:rowOff>19046</xdr:rowOff>
    </xdr:from>
    <xdr:ext cx="5143500" cy="5962653"/>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7296150" y="3695696"/>
          <a:ext cx="5143500" cy="5962653"/>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section is for determining costs, it is not a nutrient management planning tool.</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Some fertilizer input options in the budget will not be utilized for some crops.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Cost Calculator tab is a separate sheet that is set up to provide the user tools to easily calculate nutrient costs per pound of nutrient, or cost per acre of product for fertilizer additives.</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input section is set up with two options.  This is to try to make entry as simple as possible for users.  When entering fertilizer inputs, only enter them in one of the two sections so you do not double count them.</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first section is set up to calculate the cost based on the total pounds or gallons of each fertilizer product applied that is entered along with the corresponding price.  These fertilizer materials are often materials that are providing multiple nutrients with that product, like starters or blends such as 9-23-30.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second section is set up to calculate cost based on the pounds of actual nutrient applied per acre for the three primary nutrients.  In this section the pounds of actual nutrient are entered along with a price per lb. of nutrient.  The Fertilizer Cost Calculator tab is set up to calculate cost per lb. of nutrient.  There is a section of the Phosphorus cost/ lb. of nutrient calculator to help determine the cost of nitrogen that is a component of some common phosphorus fertilizer sources in the Fertilizer Cost Tab.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Use the N cost calculator in the P fertilizer section, (cell I47), on the Fertilizer Cost Calculator sheet to determine the cost for cell E39 on this page.</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manure line should be used to account for the cost of any purchased manure inputs and it's application.  Application of on farm produced manure should be accounted for in pre-harvest field operation costs.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Other fertilizer line can be used for micronutrients, or a combination of inputs not accounted for in the other fertilizer expense categories in the budget.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Include Custom hired Fertilizer Application Costs if it is not already included in the cost of the fertilizer entered in other locations in the budget sheet.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There is a soil test cost calculator on the Fertilizer Cost Calculator Sheet.</a:t>
          </a:r>
        </a:p>
        <a:p>
          <a:endParaRPr lang="en-US" sz="1000" baseline="0">
            <a:latin typeface="Arial" panose="020B0604020202020204" pitchFamily="34" charset="0"/>
            <a:cs typeface="Arial" panose="020B0604020202020204" pitchFamily="34" charset="0"/>
          </a:endParaRPr>
        </a:p>
      </xdr:txBody>
    </xdr:sp>
    <xdr:clientData/>
  </xdr:oneCellAnchor>
  <xdr:twoCellAnchor>
    <xdr:from>
      <xdr:col>7</xdr:col>
      <xdr:colOff>57149</xdr:colOff>
      <xdr:row>60</xdr:row>
      <xdr:rowOff>57149</xdr:rowOff>
    </xdr:from>
    <xdr:to>
      <xdr:col>16</xdr:col>
      <xdr:colOff>285750</xdr:colOff>
      <xdr:row>73</xdr:row>
      <xdr:rowOff>38100</xdr:rowOff>
    </xdr:to>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7848599" y="10267949"/>
          <a:ext cx="5910264" cy="2109789"/>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If you want to pro-rate seed costs over the entire life of the stand enter the </a:t>
          </a:r>
          <a:r>
            <a:rPr lang="en-US" sz="1100" b="1" baseline="0"/>
            <a:t>Expected years of stand </a:t>
          </a:r>
          <a:r>
            <a:rPr lang="en-US" sz="1100" baseline="0"/>
            <a:t>life in that cell, </a:t>
          </a:r>
          <a:endParaRPr lang="en-US" sz="1100" b="1" baseline="0"/>
        </a:p>
        <a:p>
          <a:endParaRPr lang="en-US" sz="1100" b="1" baseline="0"/>
        </a:p>
        <a:p>
          <a:r>
            <a:rPr lang="en-US" sz="1100" b="1" baseline="0"/>
            <a:t>If you are crediting all seed costs to the seeding year, do not enter any seed costs into these established year budgets.</a:t>
          </a:r>
        </a:p>
        <a:p>
          <a:endParaRPr lang="en-US" sz="1100" b="1" baseline="0"/>
        </a:p>
        <a:p>
          <a:r>
            <a:rPr lang="en-US" sz="1100" b="0" baseline="0"/>
            <a:t>Then enter in the perennial seed costs and seeding rates for the stand.</a:t>
          </a:r>
          <a:endParaRPr lang="en-US" sz="1100" b="0" i="0" u="none" strike="noStrike" baseline="0">
            <a:solidFill>
              <a:schemeClr val="dk1"/>
            </a:solidFill>
            <a:effectLst/>
            <a:latin typeface="+mn-lt"/>
            <a:ea typeface="+mn-ea"/>
            <a:cs typeface="+mn-cs"/>
          </a:endParaRPr>
        </a:p>
        <a:p>
          <a:endParaRPr lang="en-US" sz="1100" b="0" i="0" u="none" strike="noStrike" baseline="0">
            <a:solidFill>
              <a:schemeClr val="dk1"/>
            </a:solidFill>
            <a:effectLst/>
            <a:latin typeface="+mn-lt"/>
            <a:ea typeface="+mn-ea"/>
            <a:cs typeface="+mn-cs"/>
          </a:endParaRPr>
        </a:p>
        <a:p>
          <a:r>
            <a:rPr lang="en-US" sz="1100" b="0" i="0" u="none" strike="noStrike" baseline="0">
              <a:solidFill>
                <a:schemeClr val="dk1"/>
              </a:solidFill>
              <a:effectLst/>
              <a:latin typeface="+mn-lt"/>
              <a:ea typeface="+mn-ea"/>
              <a:cs typeface="+mn-cs"/>
            </a:rPr>
            <a:t>Lines  are available to enter any established stand renovation/ rescue seeding costs into the budget.  Those costs will all be credited to this current years expenses.</a:t>
          </a:r>
          <a:endParaRPr lang="en-US" sz="1100" b="0" baseline="0"/>
        </a:p>
      </xdr:txBody>
    </xdr:sp>
    <xdr:clientData/>
  </xdr:twoCellAnchor>
  <xdr:oneCellAnchor>
    <xdr:from>
      <xdr:col>15</xdr:col>
      <xdr:colOff>542925</xdr:colOff>
      <xdr:row>55</xdr:row>
      <xdr:rowOff>19050</xdr:rowOff>
    </xdr:from>
    <xdr:ext cx="184731" cy="264560"/>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1254442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28575</xdr:colOff>
      <xdr:row>74</xdr:row>
      <xdr:rowOff>0</xdr:rowOff>
    </xdr:from>
    <xdr:to>
      <xdr:col>16</xdr:col>
      <xdr:colOff>333375</xdr:colOff>
      <xdr:row>93</xdr:row>
      <xdr:rowOff>23812</xdr:rowOff>
    </xdr:to>
    <xdr:sp macro="" textlink="">
      <xdr:nvSpPr>
        <xdr:cNvPr id="6" name="TextBox 5">
          <a:extLst>
            <a:ext uri="{FF2B5EF4-FFF2-40B4-BE49-F238E27FC236}">
              <a16:creationId xmlns:a16="http://schemas.microsoft.com/office/drawing/2014/main" id="{00000000-0008-0000-0A00-000006000000}"/>
            </a:ext>
          </a:extLst>
        </xdr:cNvPr>
        <xdr:cNvSpPr txBox="1"/>
      </xdr:nvSpPr>
      <xdr:spPr>
        <a:xfrm>
          <a:off x="7305675" y="12182475"/>
          <a:ext cx="5600700" cy="3109912"/>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Pest control inputs are separated into pesticide</a:t>
          </a:r>
          <a:r>
            <a:rPr lang="en-US" sz="1100" baseline="0"/>
            <a:t> costs and the application costs. </a:t>
          </a:r>
        </a:p>
        <a:p>
          <a:endParaRPr lang="en-US" sz="1100" baseline="0"/>
        </a:p>
        <a:p>
          <a:r>
            <a:rPr lang="en-US" sz="1100" b="1" baseline="0"/>
            <a:t>There are multiple lines for several pest control applications because some years may require additional passes depending on pest pressure. Be sure you are scouting the crops and using IPM determined thresholds to determine if applications are necessary.  When using these to project costs, include your average number of applications from past years.</a:t>
          </a:r>
        </a:p>
        <a:p>
          <a:endParaRPr lang="en-US" sz="1100" b="1" baseline="0"/>
        </a:p>
        <a:p>
          <a:r>
            <a:rPr lang="en-US" sz="1100" baseline="0"/>
            <a:t>Use caution not to double count costs, some examples are:</a:t>
          </a:r>
        </a:p>
        <a:p>
          <a:endParaRPr lang="en-US" sz="1100" baseline="0"/>
        </a:p>
        <a:p>
          <a:r>
            <a:rPr lang="en-US" sz="1100" baseline="0"/>
            <a:t>Seed treatment, for example, the application cost may be covered by the planting cost which is in a separate section, and the seed treatment cost it's self may be in the seed cost.</a:t>
          </a:r>
        </a:p>
        <a:p>
          <a:endParaRPr lang="en-US" sz="1100" baseline="0"/>
        </a:p>
        <a:p>
          <a:r>
            <a:rPr lang="en-US" sz="1100" baseline="0"/>
            <a:t>Some products, like foliar insecticide could be tank mixed with an herbicide application depending on timing of need and application cost should only be included once.</a:t>
          </a:r>
        </a:p>
        <a:p>
          <a:endParaRPr lang="en-US" sz="1100" baseline="0"/>
        </a:p>
        <a:p>
          <a:r>
            <a:rPr lang="en-US" sz="1100" baseline="0"/>
            <a:t>*Include application costs here whether you apply your own or hire it done. </a:t>
          </a:r>
          <a:endParaRPr lang="en-US" sz="1100"/>
        </a:p>
      </xdr:txBody>
    </xdr:sp>
    <xdr:clientData/>
  </xdr:twoCellAnchor>
  <xdr:twoCellAnchor>
    <xdr:from>
      <xdr:col>7</xdr:col>
      <xdr:colOff>28574</xdr:colOff>
      <xdr:row>119</xdr:row>
      <xdr:rowOff>19051</xdr:rowOff>
    </xdr:from>
    <xdr:to>
      <xdr:col>20</xdr:col>
      <xdr:colOff>19049</xdr:colOff>
      <xdr:row>128</xdr:row>
      <xdr:rowOff>19051</xdr:rowOff>
    </xdr:to>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7305674" y="19602451"/>
          <a:ext cx="7572375" cy="1504950"/>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budget is set up so that Preharvest and Harvest Operations include fuel, repairs, machine storage, insurance on machinery, labor, and depreciation.  Following are links to resources to help determine these costs.  The spreadsheet resources from Iowa State and Minnesota will help estimate these costs closer to user’s actual costs than average values in fact sheets and custom rate guides.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Machinery operation cost fact sheet estimates often use assumptions of annual acres of use that may not be close to users of this budget so their estimates may not accurately represent user’s actual costs.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Click on the left end cell of the links to the resources below to go to those web pages.</a:t>
          </a:r>
        </a:p>
        <a:p>
          <a:endParaRPr lang="en-US" sz="1100"/>
        </a:p>
      </xdr:txBody>
    </xdr:sp>
    <xdr:clientData/>
  </xdr:twoCellAnchor>
  <xdr:oneCellAnchor>
    <xdr:from>
      <xdr:col>7</xdr:col>
      <xdr:colOff>63500</xdr:colOff>
      <xdr:row>107</xdr:row>
      <xdr:rowOff>127000</xdr:rowOff>
    </xdr:from>
    <xdr:ext cx="5199063" cy="571500"/>
    <xdr:sp macro="" textlink="">
      <xdr:nvSpPr>
        <xdr:cNvPr id="8" name="TextBox 7">
          <a:extLst>
            <a:ext uri="{FF2B5EF4-FFF2-40B4-BE49-F238E27FC236}">
              <a16:creationId xmlns:a16="http://schemas.microsoft.com/office/drawing/2014/main" id="{00000000-0008-0000-0A00-000008000000}"/>
            </a:ext>
          </a:extLst>
        </xdr:cNvPr>
        <xdr:cNvSpPr txBox="1"/>
      </xdr:nvSpPr>
      <xdr:spPr>
        <a:xfrm>
          <a:off x="7340600" y="17691100"/>
          <a:ext cx="5199063" cy="571500"/>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If</a:t>
          </a:r>
          <a:r>
            <a:rPr lang="en-US" sz="1100" baseline="0"/>
            <a:t> soil sampling and test costs are part of the nutrient management plan costs, or part of </a:t>
          </a:r>
        </a:p>
        <a:p>
          <a:r>
            <a:rPr lang="en-US" sz="1100" baseline="0"/>
            <a:t>crop scouting service, make sure to only enter them in once at the location of your choice.</a:t>
          </a:r>
          <a:endParaRPr lang="en-US" sz="1100"/>
        </a:p>
      </xdr:txBody>
    </xdr:sp>
    <xdr:clientData/>
  </xdr:oneCellAnchor>
  <xdr:twoCellAnchor>
    <xdr:from>
      <xdr:col>6</xdr:col>
      <xdr:colOff>865187</xdr:colOff>
      <xdr:row>173</xdr:row>
      <xdr:rowOff>111125</xdr:rowOff>
    </xdr:from>
    <xdr:to>
      <xdr:col>17</xdr:col>
      <xdr:colOff>293687</xdr:colOff>
      <xdr:row>176</xdr:row>
      <xdr:rowOff>134937</xdr:rowOff>
    </xdr:to>
    <xdr:sp macro="" textlink="">
      <xdr:nvSpPr>
        <xdr:cNvPr id="9" name="TextBox 8">
          <a:extLst>
            <a:ext uri="{FF2B5EF4-FFF2-40B4-BE49-F238E27FC236}">
              <a16:creationId xmlns:a16="http://schemas.microsoft.com/office/drawing/2014/main" id="{00000000-0008-0000-0A00-000009000000}"/>
            </a:ext>
          </a:extLst>
        </xdr:cNvPr>
        <xdr:cNvSpPr txBox="1"/>
      </xdr:nvSpPr>
      <xdr:spPr>
        <a:xfrm>
          <a:off x="7246937" y="28467050"/>
          <a:ext cx="6191250" cy="509587"/>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hauling section prorates a full load of what ever size turck is used to a per acre cost based on total yield  enter above.</a:t>
          </a:r>
          <a:endParaRPr lang="en-US" sz="1100"/>
        </a:p>
      </xdr:txBody>
    </xdr:sp>
    <xdr:clientData/>
  </xdr:twoCellAnchor>
  <xdr:twoCellAnchor>
    <xdr:from>
      <xdr:col>6</xdr:col>
      <xdr:colOff>857251</xdr:colOff>
      <xdr:row>177</xdr:row>
      <xdr:rowOff>155865</xdr:rowOff>
    </xdr:from>
    <xdr:to>
      <xdr:col>17</xdr:col>
      <xdr:colOff>381000</xdr:colOff>
      <xdr:row>179</xdr:row>
      <xdr:rowOff>95250</xdr:rowOff>
    </xdr:to>
    <xdr:sp macro="" textlink="">
      <xdr:nvSpPr>
        <xdr:cNvPr id="10" name="TextBox 9">
          <a:extLst>
            <a:ext uri="{FF2B5EF4-FFF2-40B4-BE49-F238E27FC236}">
              <a16:creationId xmlns:a16="http://schemas.microsoft.com/office/drawing/2014/main" id="{00000000-0008-0000-0A00-00000A000000}"/>
            </a:ext>
          </a:extLst>
        </xdr:cNvPr>
        <xdr:cNvSpPr txBox="1"/>
      </xdr:nvSpPr>
      <xdr:spPr>
        <a:xfrm>
          <a:off x="7239001" y="29159490"/>
          <a:ext cx="6286499" cy="263235"/>
        </a:xfrm>
        <a:prstGeom prst="rect">
          <a:avLst/>
        </a:prstGeom>
        <a:solidFill>
          <a:srgbClr val="F0F0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Bags and covers price per acre</a:t>
          </a:r>
          <a:r>
            <a:rPr lang="en-US" sz="1100" baseline="0"/>
            <a:t> pro-rate the expense based on yield entered at the top</a:t>
          </a:r>
          <a:endParaRPr lang="en-US" sz="1100"/>
        </a:p>
      </xdr:txBody>
    </xdr:sp>
    <xdr:clientData/>
  </xdr:twoCellAnchor>
  <xdr:twoCellAnchor>
    <xdr:from>
      <xdr:col>7</xdr:col>
      <xdr:colOff>38100</xdr:colOff>
      <xdr:row>147</xdr:row>
      <xdr:rowOff>95250</xdr:rowOff>
    </xdr:from>
    <xdr:to>
      <xdr:col>20</xdr:col>
      <xdr:colOff>76200</xdr:colOff>
      <xdr:row>165</xdr:row>
      <xdr:rowOff>66675</xdr:rowOff>
    </xdr:to>
    <xdr:sp macro="" textlink="">
      <xdr:nvSpPr>
        <xdr:cNvPr id="11" name="TextBox 10">
          <a:extLst>
            <a:ext uri="{FF2B5EF4-FFF2-40B4-BE49-F238E27FC236}">
              <a16:creationId xmlns:a16="http://schemas.microsoft.com/office/drawing/2014/main" id="{00000000-0008-0000-0A00-00000B000000}"/>
            </a:ext>
          </a:extLst>
        </xdr:cNvPr>
        <xdr:cNvSpPr txBox="1"/>
      </xdr:nvSpPr>
      <xdr:spPr>
        <a:xfrm>
          <a:off x="7315200" y="24469725"/>
          <a:ext cx="7620000" cy="2886075"/>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budget</a:t>
          </a:r>
          <a:r>
            <a:rPr lang="en-US" sz="1100" baseline="0"/>
            <a:t> tool is set up to allow entry of harvest costs on per acre, per hour, per bale and per ton basis due to the many ways that these costs may be known or billed for.  </a:t>
          </a:r>
        </a:p>
        <a:p>
          <a:endParaRPr lang="en-US" sz="1100" baseline="0"/>
        </a:p>
        <a:p>
          <a:r>
            <a:rPr lang="en-US" sz="1100" baseline="0"/>
            <a:t>It is neccessary to use careful consideration to accurately account for the harvest costs without missing or double counting expenses by unintetionally entering the cost in more than one place.  Some operations may be used on some cuttings, but not all cuttings.  For example in a 3 cutting example, two of the cuttings may be chopped and a third cutting made into big bale silage. </a:t>
          </a:r>
        </a:p>
        <a:p>
          <a:r>
            <a:rPr lang="en-US" sz="1100" baseline="0"/>
            <a:t>When entering it will be nessessary to privide a reasonable estimate on the number of bales per acre per year and number of tons per acre per year because multiple harvesting methods could be used, such as in the example given earlier in this paragraph.</a:t>
          </a:r>
        </a:p>
        <a:p>
          <a:endParaRPr lang="en-US" sz="1100" baseline="0"/>
        </a:p>
        <a:p>
          <a:r>
            <a:rPr lang="en-US" sz="1100" baseline="0"/>
            <a:t>To assist with the estimate the following table shows a percentage of total annual yield by cutting.</a:t>
          </a:r>
        </a:p>
        <a:p>
          <a:endParaRPr lang="en-US" sz="1100" baseline="0"/>
        </a:p>
        <a:p>
          <a:r>
            <a:rPr lang="en-US" sz="1100" u="sng" baseline="0"/>
            <a:t>cutting	3 cuttings	4 cuttings</a:t>
          </a:r>
        </a:p>
        <a:p>
          <a:r>
            <a:rPr lang="en-US" sz="1100" u="none" baseline="0"/>
            <a:t>1st	46%	36%</a:t>
          </a:r>
        </a:p>
        <a:p>
          <a:r>
            <a:rPr lang="en-US" sz="1100" u="none" baseline="0"/>
            <a:t>2nd	28%	25%</a:t>
          </a:r>
        </a:p>
        <a:p>
          <a:r>
            <a:rPr lang="en-US" sz="1100" u="none" baseline="0"/>
            <a:t>3rd	26%	21%</a:t>
          </a:r>
        </a:p>
        <a:p>
          <a:r>
            <a:rPr lang="en-US" sz="1100" u="none" baseline="0"/>
            <a:t>4th		18%</a:t>
          </a:r>
        </a:p>
      </xdr:txBody>
    </xdr:sp>
    <xdr:clientData/>
  </xdr:twoCellAnchor>
  <xdr:twoCellAnchor>
    <xdr:from>
      <xdr:col>7</xdr:col>
      <xdr:colOff>19050</xdr:colOff>
      <xdr:row>196</xdr:row>
      <xdr:rowOff>85725</xdr:rowOff>
    </xdr:from>
    <xdr:to>
      <xdr:col>18</xdr:col>
      <xdr:colOff>114300</xdr:colOff>
      <xdr:row>200</xdr:row>
      <xdr:rowOff>47625</xdr:rowOff>
    </xdr:to>
    <xdr:sp macro="" textlink="">
      <xdr:nvSpPr>
        <xdr:cNvPr id="12" name="TextBox 11">
          <a:extLst>
            <a:ext uri="{FF2B5EF4-FFF2-40B4-BE49-F238E27FC236}">
              <a16:creationId xmlns:a16="http://schemas.microsoft.com/office/drawing/2014/main" id="{00000000-0008-0000-0A00-00000C000000}"/>
            </a:ext>
          </a:extLst>
        </xdr:cNvPr>
        <xdr:cNvSpPr txBox="1"/>
      </xdr:nvSpPr>
      <xdr:spPr>
        <a:xfrm>
          <a:off x="7296150" y="32394525"/>
          <a:ext cx="6467475" cy="628650"/>
        </a:xfrm>
        <a:prstGeom prst="rect">
          <a:avLst/>
        </a:prstGeom>
        <a:solidFill>
          <a:srgbClr val="F0F0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Breakevens</a:t>
          </a:r>
          <a:r>
            <a:rPr lang="en-US" sz="1100" baseline="0"/>
            <a:t> are calculated on total tons for forage harvested per acre including nurse crop forage if a yield is entered. For established hay fields there should not be nurse crop yield or costs.  There might be an emergency/salvage seeding cost and yield.</a:t>
          </a:r>
          <a:endParaRPr lang="en-US" sz="1100"/>
        </a:p>
      </xdr:txBody>
    </xdr:sp>
    <xdr:clientData/>
  </xdr:twoCellAnchor>
  <xdr:twoCellAnchor>
    <xdr:from>
      <xdr:col>7</xdr:col>
      <xdr:colOff>0</xdr:colOff>
      <xdr:row>18</xdr:row>
      <xdr:rowOff>0</xdr:rowOff>
    </xdr:from>
    <xdr:to>
      <xdr:col>15</xdr:col>
      <xdr:colOff>403225</xdr:colOff>
      <xdr:row>22</xdr:row>
      <xdr:rowOff>47625</xdr:rowOff>
    </xdr:to>
    <xdr:sp macro="" textlink="">
      <xdr:nvSpPr>
        <xdr:cNvPr id="13" name="TextBox 12">
          <a:extLst>
            <a:ext uri="{FF2B5EF4-FFF2-40B4-BE49-F238E27FC236}">
              <a16:creationId xmlns:a16="http://schemas.microsoft.com/office/drawing/2014/main" id="{00000000-0008-0000-0A00-00000D000000}"/>
            </a:ext>
          </a:extLst>
        </xdr:cNvPr>
        <xdr:cNvSpPr txBox="1"/>
      </xdr:nvSpPr>
      <xdr:spPr>
        <a:xfrm>
          <a:off x="7277100" y="2686050"/>
          <a:ext cx="5127625" cy="714375"/>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This</a:t>
          </a:r>
          <a:r>
            <a:rPr lang="en-US" sz="1000" baseline="0">
              <a:latin typeface="Arial" panose="020B0604020202020204" pitchFamily="34" charset="0"/>
              <a:cs typeface="Arial" panose="020B0604020202020204" pitchFamily="34" charset="0"/>
            </a:rPr>
            <a:t> enterprise budget has example revenue and expense numbers in it.  Users need to put thire own revenue and expenses into the spreadsheet.  All blue cells are set up for the user to enter in their own information.</a:t>
          </a:r>
          <a:endParaRPr lang="en-US" sz="1000">
            <a:latin typeface="Arial" panose="020B0604020202020204" pitchFamily="34" charset="0"/>
            <a:cs typeface="Arial" panose="020B0604020202020204" pitchFamily="34" charset="0"/>
          </a:endParaRPr>
        </a:p>
      </xdr:txBody>
    </xdr:sp>
    <xdr:clientData/>
  </xdr:twoCellAnchor>
  <xdr:oneCellAnchor>
    <xdr:from>
      <xdr:col>7</xdr:col>
      <xdr:colOff>123825</xdr:colOff>
      <xdr:row>203</xdr:row>
      <xdr:rowOff>95250</xdr:rowOff>
    </xdr:from>
    <xdr:ext cx="7312899" cy="264560"/>
    <xdr:sp macro="" textlink="">
      <xdr:nvSpPr>
        <xdr:cNvPr id="14" name="TextBox 13">
          <a:extLst>
            <a:ext uri="{FF2B5EF4-FFF2-40B4-BE49-F238E27FC236}">
              <a16:creationId xmlns:a16="http://schemas.microsoft.com/office/drawing/2014/main" id="{00000000-0008-0000-0A00-00000E000000}"/>
            </a:ext>
          </a:extLst>
        </xdr:cNvPr>
        <xdr:cNvSpPr txBox="1"/>
      </xdr:nvSpPr>
      <xdr:spPr>
        <a:xfrm>
          <a:off x="7400925" y="33556575"/>
          <a:ext cx="7312899" cy="264560"/>
        </a:xfrm>
        <a:prstGeom prst="rect">
          <a:avLst/>
        </a:prstGeom>
        <a:solidFill>
          <a:srgbClr val="F0F090"/>
        </a:solidFill>
        <a:ln>
          <a:solidFill>
            <a:schemeClr val="lt1">
              <a:shade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Sensitivity analysis is only for primary forage yield and price.</a:t>
          </a:r>
          <a:r>
            <a:rPr lang="en-US" sz="1100" baseline="0"/>
            <a:t>  Nurse crop value is held constant to what is entered at the top.</a:t>
          </a: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91167</xdr:colOff>
      <xdr:row>0</xdr:row>
      <xdr:rowOff>34018</xdr:rowOff>
    </xdr:from>
    <xdr:to>
      <xdr:col>2</xdr:col>
      <xdr:colOff>621270</xdr:colOff>
      <xdr:row>4</xdr:row>
      <xdr:rowOff>1208</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67" y="34018"/>
          <a:ext cx="3730503" cy="567265"/>
        </a:xfrm>
        <a:prstGeom prst="rect">
          <a:avLst/>
        </a:prstGeom>
      </xdr:spPr>
    </xdr:pic>
    <xdr:clientData/>
  </xdr:twoCellAnchor>
  <xdr:oneCellAnchor>
    <xdr:from>
      <xdr:col>7</xdr:col>
      <xdr:colOff>19050</xdr:colOff>
      <xdr:row>24</xdr:row>
      <xdr:rowOff>19046</xdr:rowOff>
    </xdr:from>
    <xdr:ext cx="5143500" cy="5962653"/>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7296150" y="3695696"/>
          <a:ext cx="5143500" cy="5962653"/>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section is for determining costs, it is not a nutrient management planning tool.</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Some fertilizer input options in the budget will not be utilized for some crops.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Cost Calculator tab is a separate sheet that is set up to provide the user tools to easily calculate nutrient costs per pound of nutrient, or cost per acre of product for fertilizer additives.</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fertilizer input section is set up with two options.  This is to try to make entry as simple as possible for users.  When entering fertilizer inputs, only enter them in one of the two sections so you do not double count them.</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first section is set up to calculate the cost based on the total pounds or gallons of each fertilizer product applied that is entered along with the corresponding price.  These fertilizer materials are often materials that are providing multiple nutrients with that product, like starters or blends such as 9-23-30.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second section is set up to calculate cost based on the pounds of actual nutrient applied per acre for the three primary nutrients.  In this section the pounds of actual nutrient are entered along with a price per lb. of nutrient.  The Fertilizer Cost Calculator tab is set up to calculate cost per lb. of nutrient.  There is a section of the Phosphorus cost/ lb. of nutrient calculator to help determine the cost of nitrogen that is a component of some common phosphorus fertilizer sources in the Fertilizer Cost Tab.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 Use the N cost calculator in the P fertilizer section, (cell I47), on the Fertilizer Cost Calculator sheet to determine the cost for cell E39 on this page.</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 manure line should be used to account for the cost of any purchased manure inputs and it's application.  Application of on farm produced manure should be accounted for in pre-harvest field operation costs. </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Other fertilizer line can be used for micronutrients, or a combination of inputs not accounted for in the other fertilizer expense categories in the budget.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Include Custom hired Fertilizer Application Costs if it is not already included in the cost of the fertilizer entered in other locations in the budget sheet.</a:t>
          </a:r>
        </a:p>
        <a:p>
          <a:pPr marL="0" marR="0">
            <a:lnSpc>
              <a:spcPct val="107000"/>
            </a:lnSpc>
            <a:spcBef>
              <a:spcPts val="0"/>
            </a:spcBef>
            <a:spcAft>
              <a:spcPts val="800"/>
            </a:spcAft>
          </a:pPr>
          <a:r>
            <a:rPr lang="en-US" sz="1000">
              <a:effectLst/>
              <a:latin typeface="Arial" panose="020B0604020202020204" pitchFamily="34" charset="0"/>
              <a:ea typeface="Calibri" panose="020F0502020204030204" pitchFamily="34" charset="0"/>
              <a:cs typeface="Arial" panose="020B0604020202020204" pitchFamily="34" charset="0"/>
            </a:rPr>
            <a:t>There is a soil test cost calculator on the Fertilizer Cost Calculator Sheet.</a:t>
          </a:r>
        </a:p>
        <a:p>
          <a:endParaRPr lang="en-US" sz="1000" baseline="0">
            <a:latin typeface="Arial" panose="020B0604020202020204" pitchFamily="34" charset="0"/>
            <a:cs typeface="Arial" panose="020B0604020202020204" pitchFamily="34" charset="0"/>
          </a:endParaRPr>
        </a:p>
      </xdr:txBody>
    </xdr:sp>
    <xdr:clientData/>
  </xdr:oneCellAnchor>
  <xdr:twoCellAnchor>
    <xdr:from>
      <xdr:col>7</xdr:col>
      <xdr:colOff>57149</xdr:colOff>
      <xdr:row>60</xdr:row>
      <xdr:rowOff>57150</xdr:rowOff>
    </xdr:from>
    <xdr:to>
      <xdr:col>16</xdr:col>
      <xdr:colOff>285750</xdr:colOff>
      <xdr:row>72</xdr:row>
      <xdr:rowOff>71438</xdr:rowOff>
    </xdr:to>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7848599" y="10267950"/>
          <a:ext cx="5910264" cy="1976438"/>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Enter</a:t>
          </a:r>
          <a:r>
            <a:rPr lang="en-US" sz="1100" baseline="0">
              <a:solidFill>
                <a:schemeClr val="dk1"/>
              </a:solidFill>
              <a:effectLst/>
              <a:latin typeface="+mn-lt"/>
              <a:ea typeface="+mn-ea"/>
              <a:cs typeface="+mn-cs"/>
            </a:rPr>
            <a:t> price for alfalfa and other perennial seed per 50 lb bag basis, and enter in the pounds of seed planted per acre.</a:t>
          </a:r>
        </a:p>
        <a:p>
          <a:endParaRPr lang="en-US">
            <a:effectLst/>
          </a:endParaRPr>
        </a:p>
        <a:p>
          <a:pPr eaLnBrk="1" fontAlgn="auto" latinLnBrk="0" hangingPunct="1"/>
          <a:r>
            <a:rPr lang="en-US" sz="1100" baseline="0">
              <a:solidFill>
                <a:schemeClr val="dk1"/>
              </a:solidFill>
              <a:effectLst/>
              <a:latin typeface="+mn-lt"/>
              <a:ea typeface="+mn-ea"/>
              <a:cs typeface="+mn-cs"/>
            </a:rPr>
            <a:t>If you want to pro-rate perennial seed costs over the entire life of the stand enter the </a:t>
          </a:r>
          <a:r>
            <a:rPr lang="en-US" sz="1100" b="1" baseline="0">
              <a:solidFill>
                <a:schemeClr val="dk1"/>
              </a:solidFill>
              <a:effectLst/>
              <a:latin typeface="+mn-lt"/>
              <a:ea typeface="+mn-ea"/>
              <a:cs typeface="+mn-cs"/>
            </a:rPr>
            <a:t>Expected years of stand </a:t>
          </a:r>
          <a:r>
            <a:rPr lang="en-US" sz="1100" baseline="0">
              <a:solidFill>
                <a:schemeClr val="dk1"/>
              </a:solidFill>
              <a:effectLst/>
              <a:latin typeface="+mn-lt"/>
              <a:ea typeface="+mn-ea"/>
              <a:cs typeface="+mn-cs"/>
            </a:rPr>
            <a:t>life in that cell, if you want to assign entire seed costs only to the establishment year enter a 1 in </a:t>
          </a:r>
          <a:r>
            <a:rPr lang="en-US" sz="1100" b="1" baseline="0">
              <a:solidFill>
                <a:schemeClr val="dk1"/>
              </a:solidFill>
              <a:effectLst/>
              <a:latin typeface="+mn-lt"/>
              <a:ea typeface="+mn-ea"/>
              <a:cs typeface="+mn-cs"/>
            </a:rPr>
            <a:t>Expected years of stand</a:t>
          </a:r>
        </a:p>
        <a:p>
          <a:pPr eaLnBrk="1" fontAlgn="auto" latinLnBrk="0" hangingPunct="1"/>
          <a:endParaRPr lang="en-US">
            <a:effectLst/>
          </a:endParaRPr>
        </a:p>
        <a:p>
          <a:r>
            <a:rPr lang="en-US" sz="1100" baseline="0">
              <a:solidFill>
                <a:schemeClr val="dk1"/>
              </a:solidFill>
              <a:effectLst/>
              <a:latin typeface="+mn-lt"/>
              <a:ea typeface="+mn-ea"/>
              <a:cs typeface="+mn-cs"/>
            </a:rPr>
            <a:t>Nurse crop seed could be the cover crop planted before this crop, or it may be a separate planting.</a:t>
          </a:r>
          <a:endParaRPr lang="en-US">
            <a:effectLst/>
          </a:endParaRPr>
        </a:p>
        <a:p>
          <a:r>
            <a:rPr lang="en-US" sz="1100" baseline="0">
              <a:solidFill>
                <a:schemeClr val="dk1"/>
              </a:solidFill>
              <a:effectLst/>
              <a:latin typeface="+mn-lt"/>
              <a:ea typeface="+mn-ea"/>
              <a:cs typeface="+mn-cs"/>
            </a:rPr>
            <a:t>Enter in the price per bushel or per pound along with the seeding rate. All cover crops and nurse crop seed costs will be credited to the seeding year.</a:t>
          </a:r>
          <a:endParaRPr lang="en-US">
            <a:effectLst/>
          </a:endParaRPr>
        </a:p>
        <a:p>
          <a:endParaRPr lang="en-US" sz="1100" b="1"/>
        </a:p>
      </xdr:txBody>
    </xdr:sp>
    <xdr:clientData/>
  </xdr:twoCellAnchor>
  <xdr:oneCellAnchor>
    <xdr:from>
      <xdr:col>15</xdr:col>
      <xdr:colOff>542925</xdr:colOff>
      <xdr:row>55</xdr:row>
      <xdr:rowOff>19050</xdr:rowOff>
    </xdr:from>
    <xdr:ext cx="184731" cy="264560"/>
    <xdr:sp macro="" textlink="">
      <xdr:nvSpPr>
        <xdr:cNvPr id="5" name="TextBox 4">
          <a:extLst>
            <a:ext uri="{FF2B5EF4-FFF2-40B4-BE49-F238E27FC236}">
              <a16:creationId xmlns:a16="http://schemas.microsoft.com/office/drawing/2014/main" id="{00000000-0008-0000-0B00-000005000000}"/>
            </a:ext>
          </a:extLst>
        </xdr:cNvPr>
        <xdr:cNvSpPr txBox="1"/>
      </xdr:nvSpPr>
      <xdr:spPr>
        <a:xfrm>
          <a:off x="1254442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28575</xdr:colOff>
      <xdr:row>74</xdr:row>
      <xdr:rowOff>0</xdr:rowOff>
    </xdr:from>
    <xdr:to>
      <xdr:col>16</xdr:col>
      <xdr:colOff>333375</xdr:colOff>
      <xdr:row>93</xdr:row>
      <xdr:rowOff>23812</xdr:rowOff>
    </xdr:to>
    <xdr:sp macro="" textlink="">
      <xdr:nvSpPr>
        <xdr:cNvPr id="6" name="TextBox 5">
          <a:extLst>
            <a:ext uri="{FF2B5EF4-FFF2-40B4-BE49-F238E27FC236}">
              <a16:creationId xmlns:a16="http://schemas.microsoft.com/office/drawing/2014/main" id="{00000000-0008-0000-0B00-000006000000}"/>
            </a:ext>
          </a:extLst>
        </xdr:cNvPr>
        <xdr:cNvSpPr txBox="1"/>
      </xdr:nvSpPr>
      <xdr:spPr>
        <a:xfrm>
          <a:off x="7305675" y="12182475"/>
          <a:ext cx="5600700" cy="3109912"/>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Pest control inputs are separated into pesticide</a:t>
          </a:r>
          <a:r>
            <a:rPr lang="en-US" sz="1100" baseline="0"/>
            <a:t> costs and the application costs. </a:t>
          </a:r>
        </a:p>
        <a:p>
          <a:endParaRPr lang="en-US" sz="1100" baseline="0"/>
        </a:p>
        <a:p>
          <a:r>
            <a:rPr lang="en-US" sz="1100" b="1" baseline="0"/>
            <a:t>There are multiple lines for several pest control applications because some years may require additional passes depending on pest pressure. Be sure you are scouting the crops and using IPM determined thresholds to determine if applications are necessary.  When using these to project costs, include your average number of applications from past years.</a:t>
          </a:r>
        </a:p>
        <a:p>
          <a:endParaRPr lang="en-US" sz="1100" b="1" baseline="0"/>
        </a:p>
        <a:p>
          <a:r>
            <a:rPr lang="en-US" sz="1100" baseline="0"/>
            <a:t>Use caution not to double count costs, some examples are:</a:t>
          </a:r>
        </a:p>
        <a:p>
          <a:endParaRPr lang="en-US" sz="1100" baseline="0"/>
        </a:p>
        <a:p>
          <a:r>
            <a:rPr lang="en-US" sz="1100" baseline="0"/>
            <a:t>Seed treatment, for example, the application cost may be covered by the planting cost which is in a separate section, and the seed treatment cost it's self may be in the seed cost.</a:t>
          </a:r>
        </a:p>
        <a:p>
          <a:endParaRPr lang="en-US" sz="1100" baseline="0"/>
        </a:p>
        <a:p>
          <a:r>
            <a:rPr lang="en-US" sz="1100" baseline="0"/>
            <a:t>Some products, like foliar insecticide could be tank mixed with an herbicide application depending on timing of need and application cost should only be included once.</a:t>
          </a:r>
        </a:p>
        <a:p>
          <a:endParaRPr lang="en-US" sz="1100" baseline="0"/>
        </a:p>
        <a:p>
          <a:r>
            <a:rPr lang="en-US" sz="1100" baseline="0"/>
            <a:t>*Include application costs here whether you apply your own or hire it done. </a:t>
          </a:r>
          <a:endParaRPr lang="en-US" sz="1100"/>
        </a:p>
      </xdr:txBody>
    </xdr:sp>
    <xdr:clientData/>
  </xdr:twoCellAnchor>
  <xdr:twoCellAnchor>
    <xdr:from>
      <xdr:col>7</xdr:col>
      <xdr:colOff>28574</xdr:colOff>
      <xdr:row>119</xdr:row>
      <xdr:rowOff>19051</xdr:rowOff>
    </xdr:from>
    <xdr:to>
      <xdr:col>20</xdr:col>
      <xdr:colOff>19049</xdr:colOff>
      <xdr:row>128</xdr:row>
      <xdr:rowOff>19051</xdr:rowOff>
    </xdr:to>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7305674" y="19602451"/>
          <a:ext cx="7572375" cy="1504950"/>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budget is set up so that Preharvest and Harvest Operations include fuel, repairs, machine storage, insurance on machinery, labor, and depreciation.  Following are links to resources to help determine these costs.  The spreadsheet resources from Iowa State and Minnesota will help estimate these costs closer to user’s actual costs than average values in fact sheets and custom rate guides.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Machinery operation cost fact sheet estimates often use assumptions of annual acres of use that may not be close to users of this budget so their estimates may not accurately represent user’s actual costs.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Click on the left end cell of the links to the resources below to go to those web pages.</a:t>
          </a:r>
        </a:p>
        <a:p>
          <a:endParaRPr lang="en-US" sz="1100"/>
        </a:p>
      </xdr:txBody>
    </xdr:sp>
    <xdr:clientData/>
  </xdr:twoCellAnchor>
  <xdr:oneCellAnchor>
    <xdr:from>
      <xdr:col>7</xdr:col>
      <xdr:colOff>63500</xdr:colOff>
      <xdr:row>107</xdr:row>
      <xdr:rowOff>127000</xdr:rowOff>
    </xdr:from>
    <xdr:ext cx="5199063" cy="571500"/>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7340600" y="17691100"/>
          <a:ext cx="5199063" cy="571500"/>
        </a:xfrm>
        <a:prstGeom prst="rect">
          <a:avLst/>
        </a:prstGeom>
        <a:solidFill>
          <a:srgbClr val="F0F09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If</a:t>
          </a:r>
          <a:r>
            <a:rPr lang="en-US" sz="1100" baseline="0"/>
            <a:t> soil sampling and test costs are part of the nutrient management plan costs, or part of </a:t>
          </a:r>
        </a:p>
        <a:p>
          <a:r>
            <a:rPr lang="en-US" sz="1100" baseline="0"/>
            <a:t>crop scouting service, make sure to only enter them in once at the location of your choice.</a:t>
          </a:r>
          <a:endParaRPr lang="en-US" sz="1100"/>
        </a:p>
      </xdr:txBody>
    </xdr:sp>
    <xdr:clientData/>
  </xdr:oneCellAnchor>
  <xdr:twoCellAnchor>
    <xdr:from>
      <xdr:col>6</xdr:col>
      <xdr:colOff>865187</xdr:colOff>
      <xdr:row>173</xdr:row>
      <xdr:rowOff>111125</xdr:rowOff>
    </xdr:from>
    <xdr:to>
      <xdr:col>17</xdr:col>
      <xdr:colOff>293687</xdr:colOff>
      <xdr:row>176</xdr:row>
      <xdr:rowOff>134937</xdr:rowOff>
    </xdr:to>
    <xdr:sp macro="" textlink="">
      <xdr:nvSpPr>
        <xdr:cNvPr id="9" name="TextBox 8">
          <a:extLst>
            <a:ext uri="{FF2B5EF4-FFF2-40B4-BE49-F238E27FC236}">
              <a16:creationId xmlns:a16="http://schemas.microsoft.com/office/drawing/2014/main" id="{00000000-0008-0000-0B00-000009000000}"/>
            </a:ext>
          </a:extLst>
        </xdr:cNvPr>
        <xdr:cNvSpPr txBox="1"/>
      </xdr:nvSpPr>
      <xdr:spPr>
        <a:xfrm>
          <a:off x="7246937" y="28467050"/>
          <a:ext cx="6191250" cy="509587"/>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hauling section prorates a full load of what ever size turck is used to a per acre cost based on total yield  enter above.</a:t>
          </a:r>
          <a:endParaRPr lang="en-US" sz="1100"/>
        </a:p>
      </xdr:txBody>
    </xdr:sp>
    <xdr:clientData/>
  </xdr:twoCellAnchor>
  <xdr:twoCellAnchor>
    <xdr:from>
      <xdr:col>6</xdr:col>
      <xdr:colOff>857251</xdr:colOff>
      <xdr:row>177</xdr:row>
      <xdr:rowOff>155865</xdr:rowOff>
    </xdr:from>
    <xdr:to>
      <xdr:col>17</xdr:col>
      <xdr:colOff>381000</xdr:colOff>
      <xdr:row>179</xdr:row>
      <xdr:rowOff>95250</xdr:rowOff>
    </xdr:to>
    <xdr:sp macro="" textlink="">
      <xdr:nvSpPr>
        <xdr:cNvPr id="10" name="TextBox 9">
          <a:extLst>
            <a:ext uri="{FF2B5EF4-FFF2-40B4-BE49-F238E27FC236}">
              <a16:creationId xmlns:a16="http://schemas.microsoft.com/office/drawing/2014/main" id="{00000000-0008-0000-0B00-00000A000000}"/>
            </a:ext>
          </a:extLst>
        </xdr:cNvPr>
        <xdr:cNvSpPr txBox="1"/>
      </xdr:nvSpPr>
      <xdr:spPr>
        <a:xfrm>
          <a:off x="7239001" y="29159490"/>
          <a:ext cx="6286499" cy="263235"/>
        </a:xfrm>
        <a:prstGeom prst="rect">
          <a:avLst/>
        </a:prstGeom>
        <a:solidFill>
          <a:srgbClr val="F0F0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Bags and covers price per acre</a:t>
          </a:r>
          <a:r>
            <a:rPr lang="en-US" sz="1100" baseline="0"/>
            <a:t> pro-rate the expense based on yield entered at the top</a:t>
          </a:r>
          <a:endParaRPr lang="en-US" sz="1100"/>
        </a:p>
      </xdr:txBody>
    </xdr:sp>
    <xdr:clientData/>
  </xdr:twoCellAnchor>
  <xdr:twoCellAnchor>
    <xdr:from>
      <xdr:col>7</xdr:col>
      <xdr:colOff>28575</xdr:colOff>
      <xdr:row>146</xdr:row>
      <xdr:rowOff>85725</xdr:rowOff>
    </xdr:from>
    <xdr:to>
      <xdr:col>20</xdr:col>
      <xdr:colOff>66675</xdr:colOff>
      <xdr:row>164</xdr:row>
      <xdr:rowOff>152400</xdr:rowOff>
    </xdr:to>
    <xdr:sp macro="" textlink="">
      <xdr:nvSpPr>
        <xdr:cNvPr id="11" name="TextBox 10">
          <a:extLst>
            <a:ext uri="{FF2B5EF4-FFF2-40B4-BE49-F238E27FC236}">
              <a16:creationId xmlns:a16="http://schemas.microsoft.com/office/drawing/2014/main" id="{00000000-0008-0000-0B00-00000B000000}"/>
            </a:ext>
          </a:extLst>
        </xdr:cNvPr>
        <xdr:cNvSpPr txBox="1"/>
      </xdr:nvSpPr>
      <xdr:spPr>
        <a:xfrm>
          <a:off x="7305675" y="24298275"/>
          <a:ext cx="7620000" cy="2981325"/>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budget</a:t>
          </a:r>
          <a:r>
            <a:rPr lang="en-US" sz="1100" baseline="0"/>
            <a:t> tool is set up to allow entry of harvest costs on per acre, per hour, per bale and per ton basis due to the many ways that these costs may be known or billed for.  </a:t>
          </a:r>
        </a:p>
        <a:p>
          <a:endParaRPr lang="en-US" sz="1100" baseline="0"/>
        </a:p>
        <a:p>
          <a:r>
            <a:rPr lang="en-US" sz="1100" baseline="0"/>
            <a:t>It is neccessary to use careful consideration to accurately account for the harvest costs without missing or double counting expenses by unintetionally entering the cost in more than one place.  Some operations may be used on some cuttings, but not all cuttings.  For example in a 3 cutting example, two of the cuttings may be chopped and a third cutting made into big bale silage. </a:t>
          </a:r>
        </a:p>
        <a:p>
          <a:r>
            <a:rPr lang="en-US" sz="1100" baseline="0"/>
            <a:t>When entering it will be nessessary to privide a reasonable estimate on the number of bales per acre per year and number of tons per acre per year because multiple harvesting methods could be used, such as in the example given earlier in this paragraph.</a:t>
          </a:r>
        </a:p>
        <a:p>
          <a:endParaRPr lang="en-US" sz="1100" baseline="0"/>
        </a:p>
        <a:p>
          <a:r>
            <a:rPr lang="en-US" sz="1100" baseline="0"/>
            <a:t>To assist with the estimate the following table shows a percentage of total annual yield by cutting.</a:t>
          </a:r>
        </a:p>
        <a:p>
          <a:endParaRPr lang="en-US" sz="1100" baseline="0"/>
        </a:p>
        <a:p>
          <a:r>
            <a:rPr lang="en-US" sz="1100" u="sng" baseline="0"/>
            <a:t>cutting	3 cuttings	4 cuttings</a:t>
          </a:r>
        </a:p>
        <a:p>
          <a:r>
            <a:rPr lang="en-US" sz="1100" u="none" baseline="0"/>
            <a:t>1st	46%	36%</a:t>
          </a:r>
        </a:p>
        <a:p>
          <a:r>
            <a:rPr lang="en-US" sz="1100" u="none" baseline="0"/>
            <a:t>2nd	28%	25%</a:t>
          </a:r>
        </a:p>
        <a:p>
          <a:r>
            <a:rPr lang="en-US" sz="1100" u="none" baseline="0"/>
            <a:t>3rd	26%	21%</a:t>
          </a:r>
        </a:p>
        <a:p>
          <a:r>
            <a:rPr lang="en-US" sz="1100" u="none" baseline="0"/>
            <a:t>4th		18%</a:t>
          </a:r>
        </a:p>
      </xdr:txBody>
    </xdr:sp>
    <xdr:clientData/>
  </xdr:twoCellAnchor>
  <xdr:twoCellAnchor>
    <xdr:from>
      <xdr:col>7</xdr:col>
      <xdr:colOff>19050</xdr:colOff>
      <xdr:row>196</xdr:row>
      <xdr:rowOff>85725</xdr:rowOff>
    </xdr:from>
    <xdr:to>
      <xdr:col>18</xdr:col>
      <xdr:colOff>114300</xdr:colOff>
      <xdr:row>199</xdr:row>
      <xdr:rowOff>38100</xdr:rowOff>
    </xdr:to>
    <xdr:sp macro="" textlink="">
      <xdr:nvSpPr>
        <xdr:cNvPr id="12" name="TextBox 11">
          <a:extLst>
            <a:ext uri="{FF2B5EF4-FFF2-40B4-BE49-F238E27FC236}">
              <a16:creationId xmlns:a16="http://schemas.microsoft.com/office/drawing/2014/main" id="{00000000-0008-0000-0B00-00000C000000}"/>
            </a:ext>
          </a:extLst>
        </xdr:cNvPr>
        <xdr:cNvSpPr txBox="1"/>
      </xdr:nvSpPr>
      <xdr:spPr>
        <a:xfrm>
          <a:off x="7296150" y="32165925"/>
          <a:ext cx="6534150" cy="457200"/>
        </a:xfrm>
        <a:prstGeom prst="rect">
          <a:avLst/>
        </a:prstGeom>
        <a:solidFill>
          <a:srgbClr val="F0F0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Breakevens</a:t>
          </a:r>
          <a:r>
            <a:rPr lang="en-US" sz="1100" baseline="0"/>
            <a:t> are calculated on total tons for forage harvested per acre including nurse crop forage if a yield is entered.</a:t>
          </a:r>
          <a:endParaRPr lang="en-US" sz="1100"/>
        </a:p>
      </xdr:txBody>
    </xdr:sp>
    <xdr:clientData/>
  </xdr:twoCellAnchor>
  <xdr:twoCellAnchor>
    <xdr:from>
      <xdr:col>7</xdr:col>
      <xdr:colOff>0</xdr:colOff>
      <xdr:row>18</xdr:row>
      <xdr:rowOff>0</xdr:rowOff>
    </xdr:from>
    <xdr:to>
      <xdr:col>15</xdr:col>
      <xdr:colOff>403225</xdr:colOff>
      <xdr:row>22</xdr:row>
      <xdr:rowOff>47625</xdr:rowOff>
    </xdr:to>
    <xdr:sp macro="" textlink="">
      <xdr:nvSpPr>
        <xdr:cNvPr id="13" name="TextBox 12">
          <a:extLst>
            <a:ext uri="{FF2B5EF4-FFF2-40B4-BE49-F238E27FC236}">
              <a16:creationId xmlns:a16="http://schemas.microsoft.com/office/drawing/2014/main" id="{00000000-0008-0000-0B00-00000D000000}"/>
            </a:ext>
          </a:extLst>
        </xdr:cNvPr>
        <xdr:cNvSpPr txBox="1"/>
      </xdr:nvSpPr>
      <xdr:spPr>
        <a:xfrm>
          <a:off x="7277100" y="2686050"/>
          <a:ext cx="5127625" cy="714375"/>
        </a:xfrm>
        <a:prstGeom prst="rect">
          <a:avLst/>
        </a:prstGeom>
        <a:solidFill>
          <a:srgbClr val="F0F09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This</a:t>
          </a:r>
          <a:r>
            <a:rPr lang="en-US" sz="1000" baseline="0">
              <a:latin typeface="Arial" panose="020B0604020202020204" pitchFamily="34" charset="0"/>
              <a:cs typeface="Arial" panose="020B0604020202020204" pitchFamily="34" charset="0"/>
            </a:rPr>
            <a:t> enterprise budget has example revenue and expense numbers in it.  Users need to put thire own revenue and expenses into the spreadsheet.  All blue cells are set up for the user to enter in their own information.</a:t>
          </a:r>
          <a:endParaRPr lang="en-US" sz="1000">
            <a:latin typeface="Arial" panose="020B0604020202020204" pitchFamily="34" charset="0"/>
            <a:cs typeface="Arial" panose="020B0604020202020204" pitchFamily="34" charset="0"/>
          </a:endParaRPr>
        </a:p>
      </xdr:txBody>
    </xdr:sp>
    <xdr:clientData/>
  </xdr:twoCellAnchor>
  <xdr:oneCellAnchor>
    <xdr:from>
      <xdr:col>7</xdr:col>
      <xdr:colOff>19050</xdr:colOff>
      <xdr:row>202</xdr:row>
      <xdr:rowOff>133350</xdr:rowOff>
    </xdr:from>
    <xdr:ext cx="6937284" cy="264560"/>
    <xdr:sp macro="" textlink="">
      <xdr:nvSpPr>
        <xdr:cNvPr id="14" name="TextBox 13">
          <a:extLst>
            <a:ext uri="{FF2B5EF4-FFF2-40B4-BE49-F238E27FC236}">
              <a16:creationId xmlns:a16="http://schemas.microsoft.com/office/drawing/2014/main" id="{00000000-0008-0000-0B00-00000E000000}"/>
            </a:ext>
          </a:extLst>
        </xdr:cNvPr>
        <xdr:cNvSpPr txBox="1"/>
      </xdr:nvSpPr>
      <xdr:spPr>
        <a:xfrm>
          <a:off x="7296150" y="33432750"/>
          <a:ext cx="6937284" cy="264560"/>
        </a:xfrm>
        <a:prstGeom prst="rect">
          <a:avLst/>
        </a:prstGeom>
        <a:solidFill>
          <a:srgbClr val="F0F090"/>
        </a:solidFill>
        <a:ln>
          <a:solidFill>
            <a:schemeClr val="lt1">
              <a:shade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Sensitivity</a:t>
          </a:r>
          <a:r>
            <a:rPr lang="en-US" sz="1100" baseline="0"/>
            <a:t> analysis is for primary forage yield and price only.  Nurse crop values are kept to what is entered at the top </a:t>
          </a:r>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erome.clark@wisc.edu" TargetMode="External"/><Relationship Id="rId2" Type="http://schemas.openxmlformats.org/officeDocument/2006/relationships/hyperlink" Target="mailto:kevin.jarek@wisc.edu" TargetMode="External"/><Relationship Id="rId1" Type="http://schemas.openxmlformats.org/officeDocument/2006/relationships/hyperlink" Target="mailto:william.halfman@wisc.ed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pdmitchell@wisc.edu"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extension.iastate.edu/agdm/crops/xls/a3-29machcostcalc.xlsx" TargetMode="External"/><Relationship Id="rId2" Type="http://schemas.openxmlformats.org/officeDocument/2006/relationships/hyperlink" Target="https://wlazarus.cfans.umn.edu/william-f-lazarus-farm-machinery-management" TargetMode="External"/><Relationship Id="rId1" Type="http://schemas.openxmlformats.org/officeDocument/2006/relationships/hyperlink" Target="https://www.extension.iastate.edu/agdm/crops/html/a3-29.html"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https://store.extension.iastate.edu/product/2022-Iowa-Farm-Custom-Rate-Survey"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extension.iastate.edu/agdm/crops/xls/a3-29machcostcalc.xlsx" TargetMode="External"/><Relationship Id="rId2" Type="http://schemas.openxmlformats.org/officeDocument/2006/relationships/hyperlink" Target="https://wlazarus.cfans.umn.edu/william-f-lazarus-farm-machinery-management" TargetMode="External"/><Relationship Id="rId1" Type="http://schemas.openxmlformats.org/officeDocument/2006/relationships/hyperlink" Target="https://www.extension.iastate.edu/agdm/crops/html/a3-29.html" TargetMode="External"/><Relationship Id="rId6" Type="http://schemas.openxmlformats.org/officeDocument/2006/relationships/drawing" Target="../drawings/drawing11.xml"/><Relationship Id="rId5" Type="http://schemas.openxmlformats.org/officeDocument/2006/relationships/printerSettings" Target="../printerSettings/printerSettings11.bin"/><Relationship Id="rId4" Type="http://schemas.openxmlformats.org/officeDocument/2006/relationships/hyperlink" Target="https://store.extension.iastate.edu/product/2022-Iowa-Farm-Custom-Rate-Survey"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extension.iastate.edu/agdm/crops/xls/a3-29machcostcalc.xlsx" TargetMode="External"/><Relationship Id="rId2" Type="http://schemas.openxmlformats.org/officeDocument/2006/relationships/hyperlink" Target="https://wlazarus.cfans.umn.edu/william-f-lazarus-farm-machinery-management" TargetMode="External"/><Relationship Id="rId1" Type="http://schemas.openxmlformats.org/officeDocument/2006/relationships/hyperlink" Target="https://www.extension.iastate.edu/agdm/crops/html/a3-29.html" TargetMode="External"/><Relationship Id="rId6" Type="http://schemas.openxmlformats.org/officeDocument/2006/relationships/drawing" Target="../drawings/drawing12.xml"/><Relationship Id="rId5" Type="http://schemas.openxmlformats.org/officeDocument/2006/relationships/printerSettings" Target="../printerSettings/printerSettings12.bin"/><Relationship Id="rId4" Type="http://schemas.openxmlformats.org/officeDocument/2006/relationships/hyperlink" Target="https://store.extension.iastate.edu/product/2022-Iowa-Farm-Custom-Rate-Survey"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extension.iastate.edu/agdm/crops/xls/a3-29machcostcalc.xlsx" TargetMode="External"/><Relationship Id="rId2" Type="http://schemas.openxmlformats.org/officeDocument/2006/relationships/hyperlink" Target="https://wlazarus.cfans.umn.edu/william-f-lazarus-farm-machinery-management" TargetMode="External"/><Relationship Id="rId1" Type="http://schemas.openxmlformats.org/officeDocument/2006/relationships/hyperlink" Target="https://www.extension.iastate.edu/agdm/crops/html/a3-29.html" TargetMode="External"/><Relationship Id="rId6" Type="http://schemas.openxmlformats.org/officeDocument/2006/relationships/drawing" Target="../drawings/drawing13.xml"/><Relationship Id="rId5" Type="http://schemas.openxmlformats.org/officeDocument/2006/relationships/printerSettings" Target="../printerSettings/printerSettings13.bin"/><Relationship Id="rId4" Type="http://schemas.openxmlformats.org/officeDocument/2006/relationships/hyperlink" Target="https://store.extension.iastate.edu/product/2022-Iowa-Farm-Custom-Rate-Survey"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extension.iastate.edu/agdm/crops/xls/a3-29machcostcalc.xlsx" TargetMode="External"/><Relationship Id="rId2" Type="http://schemas.openxmlformats.org/officeDocument/2006/relationships/hyperlink" Target="https://wlazarus.cfans.umn.edu/william-f-lazarus-farm-machinery-management" TargetMode="External"/><Relationship Id="rId1" Type="http://schemas.openxmlformats.org/officeDocument/2006/relationships/hyperlink" Target="https://www.extension.iastate.edu/agdm/crops/html/a3-29.html" TargetMode="External"/><Relationship Id="rId6" Type="http://schemas.openxmlformats.org/officeDocument/2006/relationships/drawing" Target="../drawings/drawing14.xml"/><Relationship Id="rId5" Type="http://schemas.openxmlformats.org/officeDocument/2006/relationships/printerSettings" Target="../printerSettings/printerSettings14.bin"/><Relationship Id="rId4" Type="http://schemas.openxmlformats.org/officeDocument/2006/relationships/hyperlink" Target="https://store.extension.iastate.edu/product/2022-Iowa-Farm-Custom-Rate-Survey"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www.extension.iastate.edu/agdm/crops/xls/a3-29machcostcalc.xlsx" TargetMode="External"/><Relationship Id="rId2" Type="http://schemas.openxmlformats.org/officeDocument/2006/relationships/hyperlink" Target="https://wlazarus.cfans.umn.edu/william-f-lazarus-farm-machinery-management" TargetMode="External"/><Relationship Id="rId1" Type="http://schemas.openxmlformats.org/officeDocument/2006/relationships/hyperlink" Target="https://www.extension.iastate.edu/agdm/crops/html/a3-29.html" TargetMode="External"/><Relationship Id="rId6" Type="http://schemas.openxmlformats.org/officeDocument/2006/relationships/drawing" Target="../drawings/drawing15.xml"/><Relationship Id="rId5" Type="http://schemas.openxmlformats.org/officeDocument/2006/relationships/printerSettings" Target="../printerSettings/printerSettings15.bin"/><Relationship Id="rId4" Type="http://schemas.openxmlformats.org/officeDocument/2006/relationships/hyperlink" Target="https://store.extension.iastate.edu/product/2022-Iowa-Farm-Custom-Rate-Survey"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dn.shopify.com/s/files/1/0145/8808/4272/files/A2809.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extension.iastate.edu/agdm/crops/xls/a3-29machcostcalc.xlsx" TargetMode="External"/><Relationship Id="rId2" Type="http://schemas.openxmlformats.org/officeDocument/2006/relationships/hyperlink" Target="https://wlazarus.cfans.umn.edu/william-f-lazarus-farm-machinery-management" TargetMode="External"/><Relationship Id="rId1" Type="http://schemas.openxmlformats.org/officeDocument/2006/relationships/hyperlink" Target="https://www.extension.iastate.edu/agdm/crops/html/a3-29.html"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store.extension.iastate.edu/product/2022-Iowa-Farm-Custom-Rate-Survey"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extension.iastate.edu/agdm/crops/xls/a3-29machcostcalc.xlsx" TargetMode="External"/><Relationship Id="rId2" Type="http://schemas.openxmlformats.org/officeDocument/2006/relationships/hyperlink" Target="https://wlazarus.cfans.umn.edu/william-f-lazarus-farm-machinery-management" TargetMode="External"/><Relationship Id="rId1" Type="http://schemas.openxmlformats.org/officeDocument/2006/relationships/hyperlink" Target="https://www.extension.iastate.edu/agdm/crops/html/a3-29.html"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store.extension.iastate.edu/product/2022-Iowa-Farm-Custom-Rate-Survey"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extension.iastate.edu/agdm/crops/xls/a3-29machcostcalc.xlsx" TargetMode="External"/><Relationship Id="rId2" Type="http://schemas.openxmlformats.org/officeDocument/2006/relationships/hyperlink" Target="https://wlazarus.cfans.umn.edu/william-f-lazarus-farm-machinery-management" TargetMode="External"/><Relationship Id="rId1" Type="http://schemas.openxmlformats.org/officeDocument/2006/relationships/hyperlink" Target="https://www.extension.iastate.edu/agdm/crops/html/a3-29.html"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store.extension.iastate.edu/product/2022-Iowa-Farm-Custom-Rate-Survey"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extension.iastate.edu/agdm/crops/xls/a3-29machcostcalc.xlsx" TargetMode="External"/><Relationship Id="rId2" Type="http://schemas.openxmlformats.org/officeDocument/2006/relationships/hyperlink" Target="https://wlazarus.cfans.umn.edu/william-f-lazarus-farm-machinery-management" TargetMode="External"/><Relationship Id="rId1" Type="http://schemas.openxmlformats.org/officeDocument/2006/relationships/hyperlink" Target="https://www.extension.iastate.edu/agdm/crops/html/a3-29.html"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store.extension.iastate.edu/product/2022-Iowa-Farm-Custom-Rate-Survey"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extension.iastate.edu/agdm/crops/xls/a3-29machcostcalc.xlsx" TargetMode="External"/><Relationship Id="rId2" Type="http://schemas.openxmlformats.org/officeDocument/2006/relationships/hyperlink" Target="https://wlazarus.cfans.umn.edu/william-f-lazarus-farm-machinery-management" TargetMode="External"/><Relationship Id="rId1" Type="http://schemas.openxmlformats.org/officeDocument/2006/relationships/hyperlink" Target="https://www.extension.iastate.edu/agdm/crops/html/a3-29.html"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s://store.extension.iastate.edu/product/2022-Iowa-Farm-Custom-Rate-Survey"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extension.iastate.edu/agdm/crops/xls/a3-29machcostcalc.xlsx" TargetMode="External"/><Relationship Id="rId2" Type="http://schemas.openxmlformats.org/officeDocument/2006/relationships/hyperlink" Target="https://wlazarus.cfans.umn.edu/william-f-lazarus-farm-machinery-management" TargetMode="External"/><Relationship Id="rId1" Type="http://schemas.openxmlformats.org/officeDocument/2006/relationships/hyperlink" Target="https://www.extension.iastate.edu/agdm/crops/html/a3-29.html"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s://store.extension.iastate.edu/product/2022-Iowa-Farm-Custom-Rate-Survey"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extension.iastate.edu/agdm/crops/xls/a3-29machcostcalc.xlsx" TargetMode="External"/><Relationship Id="rId2" Type="http://schemas.openxmlformats.org/officeDocument/2006/relationships/hyperlink" Target="https://wlazarus.cfans.umn.edu/william-f-lazarus-farm-machinery-management" TargetMode="External"/><Relationship Id="rId1" Type="http://schemas.openxmlformats.org/officeDocument/2006/relationships/hyperlink" Target="https://www.extension.iastate.edu/agdm/crops/html/a3-29.html"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https://store.extension.iastate.edu/product/2022-Iowa-Farm-Custom-Rate-Surve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4.9989318521683403E-2"/>
    <pageSetUpPr fitToPage="1"/>
  </sheetPr>
  <dimension ref="A1:L60"/>
  <sheetViews>
    <sheetView zoomScale="110" zoomScaleNormal="110" workbookViewId="0">
      <selection activeCell="B4" sqref="B4"/>
    </sheetView>
  </sheetViews>
  <sheetFormatPr defaultColWidth="8.42578125" defaultRowHeight="12.75" x14ac:dyDescent="0.2"/>
  <cols>
    <col min="1" max="1" width="12" customWidth="1"/>
    <col min="12" max="12" width="9.28515625" bestFit="1" customWidth="1"/>
  </cols>
  <sheetData>
    <row r="1" spans="1:3" ht="26.25" customHeight="1" x14ac:dyDescent="0.2">
      <c r="A1" s="306" t="s">
        <v>320</v>
      </c>
    </row>
    <row r="2" spans="1:3" ht="17.25" customHeight="1" x14ac:dyDescent="0.2">
      <c r="A2" s="17"/>
      <c r="B2" s="3"/>
    </row>
    <row r="3" spans="1:3" ht="17.25" customHeight="1" x14ac:dyDescent="0.2">
      <c r="B3" s="3"/>
      <c r="C3" s="17" t="s">
        <v>321</v>
      </c>
    </row>
    <row r="4" spans="1:3" ht="15" customHeight="1" x14ac:dyDescent="0.2">
      <c r="A4" s="26"/>
    </row>
    <row r="5" spans="1:3" ht="15" customHeight="1" x14ac:dyDescent="0.2">
      <c r="A5" s="27"/>
    </row>
    <row r="6" spans="1:3" ht="15" customHeight="1" x14ac:dyDescent="0.2">
      <c r="A6" s="27"/>
    </row>
    <row r="7" spans="1:3" ht="15" customHeight="1" x14ac:dyDescent="0.2">
      <c r="A7" s="27"/>
    </row>
    <row r="8" spans="1:3" ht="15" customHeight="1" x14ac:dyDescent="0.2">
      <c r="A8" s="27"/>
    </row>
    <row r="9" spans="1:3" ht="15" customHeight="1" x14ac:dyDescent="0.2">
      <c r="A9" s="27"/>
    </row>
    <row r="10" spans="1:3" ht="15" customHeight="1" x14ac:dyDescent="0.2">
      <c r="A10" s="27"/>
    </row>
    <row r="11" spans="1:3" ht="15" customHeight="1" x14ac:dyDescent="0.2">
      <c r="A11" s="27"/>
    </row>
    <row r="12" spans="1:3" ht="15" customHeight="1" x14ac:dyDescent="0.2">
      <c r="A12" s="27"/>
    </row>
    <row r="13" spans="1:3" ht="15" customHeight="1" x14ac:dyDescent="0.2">
      <c r="A13" s="27"/>
    </row>
    <row r="14" spans="1:3" ht="15" customHeight="1" x14ac:dyDescent="0.2">
      <c r="A14" s="27"/>
    </row>
    <row r="15" spans="1:3" ht="15" customHeight="1" x14ac:dyDescent="0.2">
      <c r="A15" s="27"/>
    </row>
    <row r="16" spans="1:3" ht="15" customHeight="1" x14ac:dyDescent="0.2">
      <c r="A16" s="27"/>
    </row>
    <row r="17" spans="1:12" ht="15" customHeight="1" x14ac:dyDescent="0.2">
      <c r="A17" s="27"/>
    </row>
    <row r="18" spans="1:12" ht="15" customHeight="1" x14ac:dyDescent="0.2">
      <c r="A18" s="27"/>
    </row>
    <row r="19" spans="1:12" ht="15" customHeight="1" x14ac:dyDescent="0.2">
      <c r="A19" s="27"/>
    </row>
    <row r="20" spans="1:12" ht="15" customHeight="1" x14ac:dyDescent="0.2">
      <c r="A20" s="27"/>
    </row>
    <row r="21" spans="1:12" ht="15" customHeight="1" x14ac:dyDescent="0.2">
      <c r="A21" s="27"/>
    </row>
    <row r="22" spans="1:12" ht="15" customHeight="1" x14ac:dyDescent="0.2">
      <c r="A22" s="27"/>
    </row>
    <row r="23" spans="1:12" ht="15" customHeight="1" x14ac:dyDescent="0.2">
      <c r="A23" s="35"/>
    </row>
    <row r="24" spans="1:12" ht="15" customHeight="1" x14ac:dyDescent="0.2">
      <c r="A24" s="35"/>
    </row>
    <row r="25" spans="1:12" ht="15" customHeight="1" x14ac:dyDescent="0.2">
      <c r="A25" s="27"/>
    </row>
    <row r="26" spans="1:12" ht="15" customHeight="1" x14ac:dyDescent="0.2">
      <c r="A26" s="28"/>
    </row>
    <row r="31" spans="1:12" x14ac:dyDescent="0.2">
      <c r="J31" s="20" t="s">
        <v>429</v>
      </c>
      <c r="L31" s="344"/>
    </row>
    <row r="32" spans="1:12" x14ac:dyDescent="0.2">
      <c r="A32" s="20" t="s">
        <v>385</v>
      </c>
    </row>
    <row r="33" spans="1:9" x14ac:dyDescent="0.2">
      <c r="A33" s="20" t="s">
        <v>380</v>
      </c>
      <c r="C33" s="20" t="s">
        <v>386</v>
      </c>
      <c r="I33" s="36" t="s">
        <v>393</v>
      </c>
    </row>
    <row r="34" spans="1:9" x14ac:dyDescent="0.2">
      <c r="A34" s="20" t="s">
        <v>381</v>
      </c>
      <c r="C34" s="20" t="s">
        <v>387</v>
      </c>
      <c r="I34" s="36" t="s">
        <v>394</v>
      </c>
    </row>
    <row r="35" spans="1:9" x14ac:dyDescent="0.2">
      <c r="A35" s="20" t="s">
        <v>382</v>
      </c>
      <c r="C35" s="20" t="s">
        <v>388</v>
      </c>
      <c r="I35" s="36" t="s">
        <v>395</v>
      </c>
    </row>
    <row r="36" spans="1:9" x14ac:dyDescent="0.2">
      <c r="A36" s="20" t="s">
        <v>383</v>
      </c>
      <c r="C36" s="20" t="s">
        <v>415</v>
      </c>
      <c r="I36" s="36"/>
    </row>
    <row r="37" spans="1:9" x14ac:dyDescent="0.2">
      <c r="A37" s="343" t="s">
        <v>384</v>
      </c>
      <c r="C37" s="20" t="s">
        <v>389</v>
      </c>
    </row>
    <row r="38" spans="1:9" x14ac:dyDescent="0.2">
      <c r="A38" s="343" t="s">
        <v>390</v>
      </c>
    </row>
    <row r="39" spans="1:9" x14ac:dyDescent="0.2">
      <c r="A39" t="s">
        <v>391</v>
      </c>
      <c r="B39" s="20"/>
      <c r="C39" t="s">
        <v>392</v>
      </c>
      <c r="I39" s="36" t="s">
        <v>396</v>
      </c>
    </row>
    <row r="40" spans="1:9" x14ac:dyDescent="0.2">
      <c r="B40" s="20"/>
    </row>
    <row r="41" spans="1:9" x14ac:dyDescent="0.2">
      <c r="A41" s="50" t="s">
        <v>35</v>
      </c>
    </row>
    <row r="42" spans="1:9" x14ac:dyDescent="0.2">
      <c r="A42" s="51"/>
    </row>
    <row r="43" spans="1:9" x14ac:dyDescent="0.2">
      <c r="A43" s="51" t="s">
        <v>36</v>
      </c>
    </row>
    <row r="51" spans="1:1" x14ac:dyDescent="0.2">
      <c r="A51" s="41"/>
    </row>
    <row r="52" spans="1:1" x14ac:dyDescent="0.2">
      <c r="A52" s="29"/>
    </row>
    <row r="53" spans="1:1" ht="14.25" x14ac:dyDescent="0.2">
      <c r="A53" s="49"/>
    </row>
    <row r="54" spans="1:1" ht="14.25" x14ac:dyDescent="0.2">
      <c r="A54" s="49"/>
    </row>
    <row r="55" spans="1:1" ht="14.25" x14ac:dyDescent="0.2">
      <c r="A55" s="49"/>
    </row>
    <row r="56" spans="1:1" ht="14.25" x14ac:dyDescent="0.2">
      <c r="A56" s="49"/>
    </row>
    <row r="57" spans="1:1" ht="14.25" x14ac:dyDescent="0.2">
      <c r="A57" s="49"/>
    </row>
    <row r="58" spans="1:1" ht="14.25" x14ac:dyDescent="0.2">
      <c r="A58" s="49"/>
    </row>
    <row r="59" spans="1:1" ht="14.25" x14ac:dyDescent="0.2">
      <c r="A59" s="49"/>
    </row>
    <row r="60" spans="1:1" ht="14.25" x14ac:dyDescent="0.2">
      <c r="A60" s="49"/>
    </row>
  </sheetData>
  <sheetProtection algorithmName="SHA-512" hashValue="c+o4Ci9xt6qLQ4Q310qdj7EmGP31v7MX/QEskoqnx0gTFID+rSGG3o0GAIWkISerZgQlC5rFfir55jvzH3gjWg==" saltValue="Z/GJbg4SOhvghCSoNJQ9UQ==" spinCount="100000" sheet="1" objects="1" scenarios="1"/>
  <hyperlinks>
    <hyperlink ref="I33" r:id="rId1" xr:uid="{00000000-0004-0000-0000-000000000000}"/>
    <hyperlink ref="I34" r:id="rId2" xr:uid="{00000000-0004-0000-0000-000001000000}"/>
    <hyperlink ref="I35" r:id="rId3" xr:uid="{00000000-0004-0000-0000-000002000000}"/>
    <hyperlink ref="I39" r:id="rId4" xr:uid="{00000000-0004-0000-0000-000004000000}"/>
  </hyperlinks>
  <pageMargins left="0.7" right="0.7" top="0.75" bottom="0.75" header="0.3" footer="0.3"/>
  <pageSetup scale="62" fitToHeight="0" orientation="landscape"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S212"/>
  <sheetViews>
    <sheetView topLeftCell="A3" workbookViewId="0">
      <selection activeCell="E14" sqref="E14"/>
    </sheetView>
  </sheetViews>
  <sheetFormatPr defaultColWidth="8.42578125" defaultRowHeight="12.75" x14ac:dyDescent="0.2"/>
  <cols>
    <col min="1" max="1" width="26.7109375" customWidth="1"/>
    <col min="2" max="2" width="17.85546875" customWidth="1"/>
    <col min="3" max="3" width="17.42578125" customWidth="1"/>
    <col min="4" max="4" width="15.140625" customWidth="1"/>
    <col min="5" max="5" width="11.28515625" customWidth="1"/>
    <col min="6" max="6" width="10.5703125" customWidth="1"/>
    <col min="7" max="7" width="13.42578125" customWidth="1"/>
    <col min="8" max="9" width="7.42578125" customWidth="1"/>
    <col min="10" max="10" width="8.42578125" customWidth="1"/>
    <col min="11" max="11" width="8" customWidth="1"/>
    <col min="12" max="12" width="13.7109375" customWidth="1"/>
  </cols>
  <sheetData>
    <row r="1" spans="1:14" ht="15.75" customHeight="1" x14ac:dyDescent="0.2">
      <c r="A1" s="20" t="s">
        <v>29</v>
      </c>
      <c r="E1" s="36"/>
    </row>
    <row r="2" spans="1:14" ht="8.25" customHeight="1" x14ac:dyDescent="0.2"/>
    <row r="3" spans="1:14" ht="15" customHeight="1" x14ac:dyDescent="0.2"/>
    <row r="4" spans="1:14" ht="8.25" customHeight="1" x14ac:dyDescent="0.2"/>
    <row r="5" spans="1:14" ht="18.75" customHeight="1" x14ac:dyDescent="0.25">
      <c r="A5" s="2" t="s">
        <v>330</v>
      </c>
      <c r="D5" s="19"/>
      <c r="E5" s="197"/>
    </row>
    <row r="6" spans="1:14" ht="5.25" customHeight="1" x14ac:dyDescent="0.2"/>
    <row r="7" spans="1:14" x14ac:dyDescent="0.2">
      <c r="A7" s="17" t="s">
        <v>83</v>
      </c>
      <c r="E7" s="67"/>
      <c r="I7" s="38"/>
    </row>
    <row r="8" spans="1:14" x14ac:dyDescent="0.2">
      <c r="A8" s="17" t="s">
        <v>228</v>
      </c>
      <c r="E8" s="242"/>
    </row>
    <row r="9" spans="1:14" x14ac:dyDescent="0.2">
      <c r="A9" s="17" t="s">
        <v>71</v>
      </c>
      <c r="E9" s="79"/>
    </row>
    <row r="10" spans="1:14" x14ac:dyDescent="0.2">
      <c r="A10" s="17"/>
      <c r="C10" s="3"/>
    </row>
    <row r="11" spans="1:14" ht="18" x14ac:dyDescent="0.25">
      <c r="A11" s="2" t="s">
        <v>343</v>
      </c>
      <c r="B11" s="345" t="s">
        <v>423</v>
      </c>
      <c r="C11" s="329"/>
    </row>
    <row r="12" spans="1:14" x14ac:dyDescent="0.2">
      <c r="A12" s="119" t="s">
        <v>37</v>
      </c>
      <c r="B12" s="117"/>
      <c r="C12" s="118"/>
      <c r="D12" s="117"/>
      <c r="E12" s="117"/>
      <c r="F12" s="92"/>
    </row>
    <row r="13" spans="1:14" x14ac:dyDescent="0.2">
      <c r="A13" s="17"/>
      <c r="B13" s="7" t="s">
        <v>306</v>
      </c>
      <c r="C13" s="54" t="s">
        <v>307</v>
      </c>
      <c r="D13" s="7" t="s">
        <v>239</v>
      </c>
      <c r="E13" s="7" t="s">
        <v>236</v>
      </c>
      <c r="H13" s="17" t="s">
        <v>170</v>
      </c>
      <c r="I13" s="17"/>
      <c r="J13" s="17"/>
      <c r="K13" s="17"/>
    </row>
    <row r="14" spans="1:14" x14ac:dyDescent="0.2">
      <c r="A14" s="20" t="s">
        <v>216</v>
      </c>
      <c r="B14" s="275">
        <v>0.15</v>
      </c>
      <c r="C14" s="167">
        <v>5.7</v>
      </c>
      <c r="D14" s="124">
        <v>165</v>
      </c>
      <c r="E14" s="241">
        <f>C14*D14</f>
        <v>940.5</v>
      </c>
      <c r="H14" s="20" t="s">
        <v>186</v>
      </c>
      <c r="L14" s="124">
        <v>165</v>
      </c>
      <c r="N14" s="20" t="s">
        <v>187</v>
      </c>
    </row>
    <row r="15" spans="1:14" x14ac:dyDescent="0.2">
      <c r="A15" s="20" t="s">
        <v>217</v>
      </c>
      <c r="B15" s="275">
        <v>0</v>
      </c>
      <c r="C15" s="167">
        <v>0</v>
      </c>
      <c r="D15" s="124">
        <v>0</v>
      </c>
      <c r="E15" s="241">
        <f>C15*D15</f>
        <v>0</v>
      </c>
      <c r="H15" s="20" t="s">
        <v>184</v>
      </c>
      <c r="L15" s="330">
        <v>0.5</v>
      </c>
    </row>
    <row r="16" spans="1:14" x14ac:dyDescent="0.2">
      <c r="A16" s="20" t="s">
        <v>214</v>
      </c>
      <c r="C16" s="299">
        <f>C14*(1-B14)</f>
        <v>4.8449999999999998</v>
      </c>
      <c r="E16" s="232"/>
      <c r="H16" s="20" t="s">
        <v>185</v>
      </c>
      <c r="L16" s="241">
        <f>(L14/0.87)*(1-L15)</f>
        <v>94.827586206896555</v>
      </c>
    </row>
    <row r="17" spans="1:18" x14ac:dyDescent="0.2">
      <c r="A17" s="20" t="s">
        <v>215</v>
      </c>
      <c r="C17" s="299">
        <f>C15*(1-B15)</f>
        <v>0</v>
      </c>
      <c r="E17" s="232"/>
      <c r="H17" s="20"/>
      <c r="L17" s="233"/>
    </row>
    <row r="18" spans="1:18" x14ac:dyDescent="0.2">
      <c r="A18" s="152" t="s">
        <v>199</v>
      </c>
      <c r="B18" s="159"/>
      <c r="C18" s="157"/>
      <c r="D18" s="159"/>
      <c r="E18" s="243">
        <f>SUM(E14:E15)</f>
        <v>940.5</v>
      </c>
    </row>
    <row r="19" spans="1:18" x14ac:dyDescent="0.2">
      <c r="A19" s="119" t="s">
        <v>40</v>
      </c>
      <c r="B19" s="120"/>
      <c r="C19" s="121"/>
      <c r="D19" s="120"/>
      <c r="E19" s="120"/>
      <c r="F19" s="122"/>
    </row>
    <row r="20" spans="1:18" ht="12" customHeight="1" x14ac:dyDescent="0.2">
      <c r="A20" s="17"/>
      <c r="B20" s="4"/>
      <c r="C20" s="3"/>
      <c r="D20" s="4"/>
      <c r="E20" s="4"/>
    </row>
    <row r="21" spans="1:18" x14ac:dyDescent="0.2">
      <c r="A21" s="111" t="s">
        <v>4</v>
      </c>
      <c r="B21" s="92"/>
      <c r="C21" s="112"/>
      <c r="D21" s="112"/>
      <c r="E21" s="112"/>
      <c r="F21" s="92"/>
    </row>
    <row r="22" spans="1:18" ht="15" customHeight="1" x14ac:dyDescent="0.2">
      <c r="A22" s="98" t="s">
        <v>88</v>
      </c>
      <c r="B22" s="99"/>
      <c r="C22" s="100"/>
      <c r="D22" s="100"/>
      <c r="E22" s="100"/>
      <c r="F22" s="97"/>
      <c r="H22" s="17"/>
      <c r="J22" s="17"/>
      <c r="M22" s="20"/>
    </row>
    <row r="23" spans="1:18" x14ac:dyDescent="0.2">
      <c r="A23" s="33"/>
      <c r="B23" s="7" t="s">
        <v>237</v>
      </c>
      <c r="C23" s="7" t="s">
        <v>238</v>
      </c>
      <c r="D23" s="7" t="s">
        <v>239</v>
      </c>
      <c r="E23" s="7" t="s">
        <v>240</v>
      </c>
      <c r="G23" s="65"/>
      <c r="H23" s="17"/>
      <c r="J23" s="17"/>
      <c r="K23" s="17"/>
      <c r="M23" s="20"/>
    </row>
    <row r="24" spans="1:18" x14ac:dyDescent="0.2">
      <c r="A24" s="39" t="s">
        <v>303</v>
      </c>
      <c r="B24" s="207"/>
      <c r="C24" s="78">
        <v>0</v>
      </c>
      <c r="D24" s="90">
        <v>0</v>
      </c>
      <c r="E24" s="244">
        <f>((D24/2000)*B24*C24)</f>
        <v>0</v>
      </c>
      <c r="G24" s="48"/>
      <c r="H24" s="6"/>
      <c r="I24" s="48"/>
      <c r="J24" s="6"/>
      <c r="O24" s="20"/>
      <c r="P24" s="20"/>
      <c r="Q24" s="20"/>
      <c r="R24" s="20"/>
    </row>
    <row r="25" spans="1:18" x14ac:dyDescent="0.2">
      <c r="A25" s="39"/>
      <c r="B25" s="40"/>
      <c r="C25" s="47"/>
      <c r="D25" s="10"/>
      <c r="E25" s="46"/>
      <c r="G25" s="48"/>
      <c r="H25" s="6"/>
      <c r="I25" s="48"/>
      <c r="J25" s="6"/>
      <c r="O25" s="20"/>
      <c r="P25" s="20"/>
      <c r="Q25" s="20"/>
      <c r="R25" s="20"/>
    </row>
    <row r="26" spans="1:18" x14ac:dyDescent="0.2">
      <c r="A26" s="33"/>
      <c r="C26" s="7" t="s">
        <v>87</v>
      </c>
      <c r="D26" s="7" t="s">
        <v>239</v>
      </c>
      <c r="E26" s="7" t="s">
        <v>240</v>
      </c>
      <c r="G26" s="65"/>
      <c r="H26" s="17"/>
      <c r="J26" s="17"/>
      <c r="K26" s="17"/>
      <c r="M26" s="20"/>
    </row>
    <row r="27" spans="1:18" x14ac:dyDescent="0.2">
      <c r="A27" s="208" t="s">
        <v>171</v>
      </c>
      <c r="B27" s="4"/>
      <c r="C27" s="68">
        <v>100</v>
      </c>
      <c r="D27" s="90">
        <v>520</v>
      </c>
      <c r="E27" s="245">
        <f>C27*(D27/2000)</f>
        <v>26</v>
      </c>
      <c r="G27" s="5"/>
      <c r="H27" s="1"/>
      <c r="J27" s="56"/>
    </row>
    <row r="28" spans="1:18" x14ac:dyDescent="0.2">
      <c r="A28" s="208" t="s">
        <v>66</v>
      </c>
      <c r="B28" s="4"/>
      <c r="C28" s="77"/>
      <c r="D28" s="90">
        <v>0</v>
      </c>
      <c r="E28" s="246">
        <f>C28*(D28/2000)</f>
        <v>0</v>
      </c>
      <c r="G28" s="5"/>
      <c r="H28" s="1"/>
      <c r="J28" s="56"/>
    </row>
    <row r="29" spans="1:18" x14ac:dyDescent="0.2">
      <c r="A29" s="209" t="s">
        <v>66</v>
      </c>
      <c r="B29" s="4"/>
      <c r="C29" s="77"/>
      <c r="D29" s="193"/>
      <c r="E29" s="246">
        <f>C29*(D29/2000)</f>
        <v>0</v>
      </c>
      <c r="G29" s="5"/>
      <c r="H29" s="1"/>
      <c r="J29" s="56"/>
    </row>
    <row r="30" spans="1:18" x14ac:dyDescent="0.2">
      <c r="A30" s="208"/>
      <c r="B30" s="4"/>
      <c r="C30" s="68"/>
      <c r="D30" s="90"/>
      <c r="E30" s="245">
        <f>C30*(D30/2000)</f>
        <v>0</v>
      </c>
      <c r="G30" s="5"/>
      <c r="H30" s="1"/>
      <c r="J30" s="56"/>
    </row>
    <row r="31" spans="1:18" x14ac:dyDescent="0.2">
      <c r="A31" s="94"/>
      <c r="B31" s="4"/>
      <c r="C31" s="42"/>
      <c r="D31" s="93"/>
      <c r="E31" s="93"/>
      <c r="G31" s="5"/>
      <c r="H31" s="1"/>
      <c r="J31" s="56"/>
    </row>
    <row r="32" spans="1:18" ht="14.25" customHeight="1" x14ac:dyDescent="0.2">
      <c r="A32" s="95" t="s">
        <v>135</v>
      </c>
      <c r="B32" s="96"/>
      <c r="C32" s="160"/>
      <c r="D32" s="161"/>
      <c r="E32" s="161"/>
      <c r="F32" s="97"/>
    </row>
    <row r="33" spans="1:12" ht="14.25" customHeight="1" x14ac:dyDescent="0.2">
      <c r="A33" s="48" t="s">
        <v>304</v>
      </c>
      <c r="C33" s="219" t="s">
        <v>68</v>
      </c>
      <c r="D33" s="7" t="s">
        <v>69</v>
      </c>
      <c r="E33" s="7" t="s">
        <v>240</v>
      </c>
    </row>
    <row r="34" spans="1:12" ht="14.25" customHeight="1" x14ac:dyDescent="0.2">
      <c r="A34" s="201" t="s">
        <v>14</v>
      </c>
      <c r="B34" s="40"/>
      <c r="C34" s="68">
        <v>0</v>
      </c>
      <c r="D34" s="90">
        <v>0.6</v>
      </c>
      <c r="E34" s="245">
        <f>C34*D34</f>
        <v>0</v>
      </c>
    </row>
    <row r="35" spans="1:12" ht="14.25" customHeight="1" x14ac:dyDescent="0.2">
      <c r="A35" s="220" t="s">
        <v>15</v>
      </c>
      <c r="B35" s="4"/>
      <c r="C35" s="68"/>
      <c r="D35" s="90"/>
      <c r="E35" s="245">
        <f t="shared" ref="E35:E37" si="0">C35*D35</f>
        <v>0</v>
      </c>
    </row>
    <row r="36" spans="1:12" ht="13.5" customHeight="1" x14ac:dyDescent="0.2">
      <c r="A36" s="220" t="s">
        <v>16</v>
      </c>
      <c r="B36" s="4"/>
      <c r="C36" s="68"/>
      <c r="D36" s="90"/>
      <c r="E36" s="245">
        <f t="shared" si="0"/>
        <v>0</v>
      </c>
      <c r="G36" s="72"/>
      <c r="H36" s="16"/>
      <c r="I36" s="16"/>
      <c r="J36" s="7"/>
      <c r="K36" s="17"/>
      <c r="L36" s="17"/>
    </row>
    <row r="37" spans="1:12" ht="14.25" customHeight="1" x14ac:dyDescent="0.2">
      <c r="A37" s="221" t="s">
        <v>17</v>
      </c>
      <c r="B37" s="4"/>
      <c r="C37" s="68"/>
      <c r="D37" s="90"/>
      <c r="E37" s="246">
        <f t="shared" si="0"/>
        <v>0</v>
      </c>
      <c r="G37" s="5"/>
      <c r="H37" s="6"/>
      <c r="I37" s="6"/>
      <c r="J37" s="6"/>
      <c r="K37" s="6"/>
    </row>
    <row r="38" spans="1:12" ht="14.25" customHeight="1" x14ac:dyDescent="0.2">
      <c r="A38" s="199" t="s">
        <v>86</v>
      </c>
      <c r="B38" s="4"/>
      <c r="C38" s="42"/>
      <c r="D38" s="93"/>
      <c r="E38" s="210">
        <v>0</v>
      </c>
      <c r="G38" s="5"/>
      <c r="H38" s="6"/>
      <c r="I38" s="6"/>
      <c r="J38" s="6"/>
      <c r="K38" s="6"/>
    </row>
    <row r="39" spans="1:12" ht="14.25" customHeight="1" x14ac:dyDescent="0.2">
      <c r="A39" s="82" t="s">
        <v>136</v>
      </c>
      <c r="B39" s="81"/>
      <c r="C39" s="42"/>
      <c r="D39" s="93"/>
      <c r="E39" s="90">
        <v>0</v>
      </c>
      <c r="G39" s="5"/>
      <c r="H39" s="6"/>
      <c r="I39" s="6"/>
      <c r="J39" s="6"/>
      <c r="K39" s="6"/>
    </row>
    <row r="40" spans="1:12" ht="14.25" x14ac:dyDescent="0.25">
      <c r="A40" s="32"/>
      <c r="B40" s="4"/>
      <c r="C40" s="7" t="s">
        <v>193</v>
      </c>
      <c r="D40" s="223" t="s">
        <v>265</v>
      </c>
      <c r="E40" s="46"/>
      <c r="G40" s="65"/>
      <c r="I40" s="6"/>
    </row>
    <row r="41" spans="1:12" x14ac:dyDescent="0.2">
      <c r="A41" s="94" t="s">
        <v>192</v>
      </c>
      <c r="C41" s="68">
        <v>60</v>
      </c>
      <c r="D41" s="210">
        <v>0.81</v>
      </c>
      <c r="E41" s="247">
        <f t="shared" ref="E41" si="1">C41*D41</f>
        <v>48.6</v>
      </c>
      <c r="G41" s="48"/>
      <c r="H41" s="6"/>
    </row>
    <row r="42" spans="1:12" ht="14.25" customHeight="1" x14ac:dyDescent="0.25">
      <c r="A42" s="39"/>
      <c r="B42" s="4"/>
      <c r="C42" s="7" t="s">
        <v>194</v>
      </c>
      <c r="D42" s="223" t="s">
        <v>264</v>
      </c>
      <c r="E42" s="46"/>
      <c r="G42" s="5"/>
      <c r="H42" s="6"/>
      <c r="K42" s="17"/>
    </row>
    <row r="43" spans="1:12" ht="14.25" customHeight="1" x14ac:dyDescent="0.2">
      <c r="A43" s="222" t="s">
        <v>13</v>
      </c>
      <c r="C43" s="68">
        <v>290</v>
      </c>
      <c r="D43" s="90">
        <v>0.43</v>
      </c>
      <c r="E43" s="245">
        <f>C43*D43</f>
        <v>124.7</v>
      </c>
      <c r="G43" s="72"/>
      <c r="H43" s="16"/>
      <c r="I43" s="73"/>
      <c r="J43" s="73"/>
      <c r="K43" s="7"/>
      <c r="L43" s="7"/>
    </row>
    <row r="44" spans="1:12" ht="14.25" customHeight="1" x14ac:dyDescent="0.2">
      <c r="C44" s="12"/>
      <c r="G44" s="5"/>
      <c r="H44" s="1"/>
      <c r="I44" s="1"/>
      <c r="J44" s="1"/>
      <c r="K44" s="1"/>
      <c r="L44" s="1"/>
    </row>
    <row r="45" spans="1:12" ht="14.25" customHeight="1" x14ac:dyDescent="0.2">
      <c r="A45" s="199" t="s">
        <v>133</v>
      </c>
      <c r="B45" s="4"/>
      <c r="C45" s="9"/>
      <c r="D45" s="10"/>
      <c r="E45" s="90">
        <v>0</v>
      </c>
      <c r="G45" s="5"/>
      <c r="H45" s="6"/>
      <c r="I45" s="6"/>
      <c r="J45" s="6"/>
      <c r="K45" s="6"/>
      <c r="L45" s="6"/>
    </row>
    <row r="46" spans="1:12" ht="14.25" customHeight="1" x14ac:dyDescent="0.2">
      <c r="A46" s="166"/>
      <c r="B46" s="4"/>
      <c r="C46" s="9"/>
      <c r="D46" s="10"/>
      <c r="E46" s="102"/>
      <c r="G46" s="5"/>
      <c r="H46" s="6"/>
      <c r="I46" s="6"/>
      <c r="J46" s="6"/>
      <c r="K46" s="6"/>
      <c r="L46" s="6"/>
    </row>
    <row r="47" spans="1:12" ht="14.25" customHeight="1" x14ac:dyDescent="0.2">
      <c r="A47" s="199" t="s">
        <v>7</v>
      </c>
      <c r="B47" s="4"/>
      <c r="C47" s="9"/>
      <c r="D47" s="10"/>
      <c r="E47" s="90">
        <v>0</v>
      </c>
      <c r="G47" s="5"/>
      <c r="H47" s="6"/>
      <c r="I47" s="6"/>
      <c r="J47" s="6"/>
      <c r="K47" s="6"/>
      <c r="L47" s="6"/>
    </row>
    <row r="48" spans="1:12" ht="14.25" customHeight="1" x14ac:dyDescent="0.2">
      <c r="A48" s="199"/>
      <c r="B48" s="4"/>
      <c r="C48" s="9"/>
      <c r="D48" s="10"/>
      <c r="E48" s="90">
        <v>0</v>
      </c>
      <c r="G48" s="5"/>
      <c r="H48" s="6"/>
      <c r="I48" s="6"/>
      <c r="J48" s="6"/>
      <c r="K48" s="6"/>
      <c r="L48" s="6"/>
    </row>
    <row r="49" spans="1:12" ht="14.25" customHeight="1" x14ac:dyDescent="0.2">
      <c r="A49" s="199"/>
      <c r="B49" s="4"/>
      <c r="C49" s="9"/>
      <c r="D49" s="10"/>
      <c r="E49" s="90">
        <v>0</v>
      </c>
      <c r="G49" s="5"/>
      <c r="H49" s="6"/>
      <c r="I49" s="6"/>
      <c r="J49" s="6"/>
      <c r="K49" s="6"/>
      <c r="L49" s="6"/>
    </row>
    <row r="50" spans="1:12" ht="14.25" customHeight="1" x14ac:dyDescent="0.2">
      <c r="A50" s="33" t="s">
        <v>247</v>
      </c>
      <c r="B50" s="101"/>
      <c r="C50" s="219" t="s">
        <v>72</v>
      </c>
      <c r="D50" s="54" t="s">
        <v>255</v>
      </c>
      <c r="E50" s="10"/>
      <c r="G50" s="5"/>
      <c r="H50" s="6"/>
      <c r="I50" s="6"/>
      <c r="J50" s="6"/>
      <c r="K50" s="6"/>
      <c r="L50" s="6"/>
    </row>
    <row r="51" spans="1:12" ht="14.25" customHeight="1" x14ac:dyDescent="0.2">
      <c r="A51" s="199" t="s">
        <v>89</v>
      </c>
      <c r="B51" s="4"/>
      <c r="C51" s="68">
        <v>2</v>
      </c>
      <c r="D51" s="90">
        <v>9</v>
      </c>
      <c r="E51" s="245">
        <f>D51*C51</f>
        <v>18</v>
      </c>
      <c r="G51" s="5"/>
      <c r="H51" s="6"/>
      <c r="I51" s="6"/>
      <c r="J51" s="6"/>
      <c r="K51" s="6"/>
      <c r="L51" s="6"/>
    </row>
    <row r="52" spans="1:12" ht="14.25" customHeight="1" x14ac:dyDescent="0.2">
      <c r="A52" s="199"/>
      <c r="B52" s="4"/>
      <c r="C52" s="68"/>
      <c r="D52" s="90"/>
      <c r="E52" s="245">
        <f t="shared" ref="E52:E53" si="2">D52*C52</f>
        <v>0</v>
      </c>
      <c r="G52" s="5"/>
      <c r="H52" s="6"/>
      <c r="I52" s="6"/>
      <c r="J52" s="6"/>
      <c r="K52" s="6"/>
      <c r="L52" s="6"/>
    </row>
    <row r="53" spans="1:12" ht="14.25" customHeight="1" x14ac:dyDescent="0.2">
      <c r="A53" s="199"/>
      <c r="B53" s="4"/>
      <c r="C53" s="68"/>
      <c r="D53" s="90"/>
      <c r="E53" s="245">
        <f t="shared" si="2"/>
        <v>0</v>
      </c>
      <c r="G53" s="5"/>
      <c r="H53" s="6"/>
      <c r="I53" s="6"/>
      <c r="J53" s="6"/>
      <c r="K53" s="6"/>
      <c r="L53" s="6"/>
    </row>
    <row r="54" spans="1:12" ht="14.25" customHeight="1" x14ac:dyDescent="0.2">
      <c r="A54" s="33"/>
      <c r="B54" s="4"/>
      <c r="C54" s="9"/>
      <c r="D54" s="10"/>
      <c r="E54" s="10"/>
      <c r="G54" s="5"/>
      <c r="H54" s="6"/>
      <c r="I54" s="6"/>
      <c r="J54" s="6"/>
      <c r="K54" s="6"/>
      <c r="L54" s="6"/>
    </row>
    <row r="55" spans="1:12" x14ac:dyDescent="0.2">
      <c r="B55" s="7" t="s">
        <v>262</v>
      </c>
      <c r="C55" s="7" t="s">
        <v>263</v>
      </c>
      <c r="D55" s="54" t="s">
        <v>239</v>
      </c>
      <c r="E55" s="7" t="s">
        <v>240</v>
      </c>
    </row>
    <row r="56" spans="1:12" x14ac:dyDescent="0.2">
      <c r="A56" s="4" t="s">
        <v>80</v>
      </c>
      <c r="B56" s="211">
        <v>1</v>
      </c>
      <c r="C56" s="69">
        <v>0</v>
      </c>
      <c r="D56" s="124">
        <v>0</v>
      </c>
      <c r="E56" s="245">
        <f>(D56*C56)/B56</f>
        <v>0</v>
      </c>
      <c r="H56" s="80"/>
    </row>
    <row r="57" spans="1:12" x14ac:dyDescent="0.2">
      <c r="A57" s="15"/>
      <c r="B57" s="40"/>
      <c r="C57" s="125"/>
      <c r="D57" s="224" t="s">
        <v>240</v>
      </c>
      <c r="E57" s="102"/>
      <c r="H57" s="80"/>
    </row>
    <row r="58" spans="1:12" x14ac:dyDescent="0.2">
      <c r="A58" s="33" t="s">
        <v>98</v>
      </c>
      <c r="B58" s="4"/>
      <c r="C58" s="123"/>
      <c r="D58" s="124">
        <v>0</v>
      </c>
      <c r="E58" s="245">
        <f>D58/B56</f>
        <v>0</v>
      </c>
      <c r="H58" s="80"/>
    </row>
    <row r="59" spans="1:12" x14ac:dyDescent="0.2">
      <c r="A59" s="15"/>
      <c r="B59" s="84"/>
      <c r="C59" s="20"/>
      <c r="D59" s="1"/>
      <c r="E59" s="6"/>
      <c r="H59" s="80"/>
    </row>
    <row r="60" spans="1:12" x14ac:dyDescent="0.2">
      <c r="A60" s="152" t="s">
        <v>197</v>
      </c>
      <c r="B60" s="159"/>
      <c r="C60" s="159"/>
      <c r="D60" s="159"/>
      <c r="E60" s="243">
        <f>SUM(E24:E59)</f>
        <v>217.3</v>
      </c>
      <c r="G60" s="33"/>
      <c r="H60" s="33"/>
    </row>
    <row r="61" spans="1:12" x14ac:dyDescent="0.2">
      <c r="A61" s="111" t="s">
        <v>94</v>
      </c>
      <c r="B61" s="92"/>
      <c r="C61" s="92"/>
      <c r="D61" s="92"/>
      <c r="E61" s="92"/>
      <c r="F61" s="92"/>
      <c r="G61" s="33"/>
      <c r="H61" s="33"/>
    </row>
    <row r="62" spans="1:12" x14ac:dyDescent="0.2">
      <c r="A62" s="20" t="s">
        <v>182</v>
      </c>
      <c r="B62" s="60">
        <v>1</v>
      </c>
      <c r="G62" s="33"/>
      <c r="H62" s="33"/>
    </row>
    <row r="63" spans="1:12" x14ac:dyDescent="0.2">
      <c r="A63" s="18"/>
      <c r="B63" s="4"/>
      <c r="C63" s="54" t="s">
        <v>313</v>
      </c>
      <c r="D63" s="54" t="s">
        <v>314</v>
      </c>
      <c r="E63" s="7" t="s">
        <v>240</v>
      </c>
      <c r="G63" s="33"/>
      <c r="H63" s="33"/>
    </row>
    <row r="64" spans="1:12" x14ac:dyDescent="0.2">
      <c r="A64" s="199" t="s">
        <v>172</v>
      </c>
      <c r="B64" s="40"/>
      <c r="C64" s="68">
        <v>0</v>
      </c>
      <c r="D64" s="169">
        <v>350</v>
      </c>
      <c r="E64" s="245">
        <f>((C64/50)*D64)/$B$62</f>
        <v>0</v>
      </c>
      <c r="G64" s="33"/>
      <c r="H64" s="33"/>
    </row>
    <row r="65" spans="1:8" x14ac:dyDescent="0.2">
      <c r="A65" s="199" t="s">
        <v>174</v>
      </c>
      <c r="B65" s="40"/>
      <c r="C65" s="68"/>
      <c r="D65" s="169"/>
      <c r="E65" s="245">
        <f t="shared" ref="E65:E67" si="3">((C65/50)*D65)/$B$62</f>
        <v>0</v>
      </c>
      <c r="G65" s="33"/>
      <c r="H65" s="33"/>
    </row>
    <row r="66" spans="1:8" x14ac:dyDescent="0.2">
      <c r="A66" s="199"/>
      <c r="B66" s="40"/>
      <c r="C66" s="68"/>
      <c r="D66" s="169"/>
      <c r="E66" s="245">
        <f t="shared" si="3"/>
        <v>0</v>
      </c>
      <c r="G66" s="33"/>
      <c r="H66" s="33"/>
    </row>
    <row r="67" spans="1:8" x14ac:dyDescent="0.2">
      <c r="A67" s="60"/>
      <c r="B67" s="40"/>
      <c r="C67" s="68"/>
      <c r="D67" s="169"/>
      <c r="E67" s="245">
        <f t="shared" si="3"/>
        <v>0</v>
      </c>
      <c r="G67" s="33"/>
      <c r="H67" s="33"/>
    </row>
    <row r="68" spans="1:8" x14ac:dyDescent="0.2">
      <c r="A68" s="5"/>
      <c r="B68" s="5"/>
      <c r="C68" s="7" t="s">
        <v>298</v>
      </c>
      <c r="D68" s="54" t="s">
        <v>235</v>
      </c>
      <c r="E68" s="7" t="s">
        <v>240</v>
      </c>
    </row>
    <row r="69" spans="1:8" x14ac:dyDescent="0.2">
      <c r="A69" s="48" t="s">
        <v>345</v>
      </c>
      <c r="B69" s="48"/>
      <c r="C69" s="77">
        <v>2</v>
      </c>
      <c r="D69" s="170"/>
      <c r="E69" s="248">
        <f>D69*C69</f>
        <v>0</v>
      </c>
    </row>
    <row r="70" spans="1:8" x14ac:dyDescent="0.2">
      <c r="A70" s="48" t="s">
        <v>345</v>
      </c>
      <c r="B70" s="48"/>
      <c r="C70" s="68"/>
      <c r="D70" s="169"/>
      <c r="E70" s="324">
        <f>D70*C70</f>
        <v>0</v>
      </c>
    </row>
    <row r="71" spans="1:8" x14ac:dyDescent="0.2">
      <c r="A71" s="48"/>
      <c r="B71" s="48"/>
      <c r="C71" s="225" t="s">
        <v>260</v>
      </c>
      <c r="D71" s="234" t="s">
        <v>261</v>
      </c>
      <c r="E71" s="227" t="s">
        <v>240</v>
      </c>
    </row>
    <row r="72" spans="1:8" x14ac:dyDescent="0.2">
      <c r="A72" s="48" t="s">
        <v>345</v>
      </c>
      <c r="B72" s="48"/>
      <c r="C72" s="68"/>
      <c r="D72" s="169"/>
      <c r="E72" s="324">
        <f>D72*C72</f>
        <v>0</v>
      </c>
    </row>
    <row r="73" spans="1:8" x14ac:dyDescent="0.2">
      <c r="A73" s="146" t="s">
        <v>196</v>
      </c>
      <c r="B73" s="153"/>
      <c r="C73" s="158"/>
      <c r="D73" s="157"/>
      <c r="E73" s="249">
        <f>E64+E69+E70+E72</f>
        <v>0</v>
      </c>
    </row>
    <row r="74" spans="1:8" x14ac:dyDescent="0.2">
      <c r="A74" s="110" t="s">
        <v>92</v>
      </c>
      <c r="B74" s="106"/>
      <c r="C74" s="107"/>
      <c r="D74" s="108"/>
      <c r="E74" s="145"/>
      <c r="F74" s="92"/>
    </row>
    <row r="75" spans="1:8" x14ac:dyDescent="0.2">
      <c r="A75" s="65" t="s">
        <v>2</v>
      </c>
      <c r="B75" s="4"/>
      <c r="C75" s="162"/>
      <c r="D75" s="83"/>
      <c r="E75" s="8" t="s">
        <v>67</v>
      </c>
      <c r="G75" s="31"/>
      <c r="H75" s="31"/>
    </row>
    <row r="76" spans="1:8" x14ac:dyDescent="0.2">
      <c r="A76" s="33" t="s">
        <v>126</v>
      </c>
      <c r="B76" s="4"/>
      <c r="C76" s="162"/>
      <c r="D76" s="83"/>
      <c r="E76" s="217">
        <v>0</v>
      </c>
      <c r="G76" s="31"/>
      <c r="H76" s="31"/>
    </row>
    <row r="77" spans="1:8" x14ac:dyDescent="0.2">
      <c r="A77" s="40" t="s">
        <v>99</v>
      </c>
      <c r="B77" s="4"/>
      <c r="C77" s="162"/>
      <c r="D77" s="83"/>
      <c r="E77" s="90">
        <v>0</v>
      </c>
      <c r="G77" s="31"/>
      <c r="H77" s="31"/>
    </row>
    <row r="78" spans="1:8" x14ac:dyDescent="0.2">
      <c r="A78" s="33" t="s">
        <v>127</v>
      </c>
      <c r="B78" s="4"/>
      <c r="C78" s="9"/>
      <c r="D78" s="163"/>
      <c r="E78" s="90">
        <v>0</v>
      </c>
      <c r="G78" s="31"/>
      <c r="H78" s="31"/>
    </row>
    <row r="79" spans="1:8" x14ac:dyDescent="0.2">
      <c r="A79" s="40" t="s">
        <v>99</v>
      </c>
      <c r="B79" s="4"/>
      <c r="C79" s="9"/>
      <c r="D79" s="163"/>
      <c r="E79" s="90">
        <v>0</v>
      </c>
      <c r="G79" s="31"/>
      <c r="H79" s="31"/>
    </row>
    <row r="80" spans="1:8" x14ac:dyDescent="0.2">
      <c r="A80" s="33" t="s">
        <v>128</v>
      </c>
      <c r="B80" s="4"/>
      <c r="C80" s="9"/>
      <c r="D80" s="163"/>
      <c r="E80" s="90">
        <v>0</v>
      </c>
      <c r="G80" s="31"/>
      <c r="H80" s="31"/>
    </row>
    <row r="81" spans="1:8" x14ac:dyDescent="0.2">
      <c r="A81" s="40" t="s">
        <v>99</v>
      </c>
      <c r="B81" s="4"/>
      <c r="C81" s="9"/>
      <c r="D81" s="163"/>
      <c r="E81" s="90">
        <v>0</v>
      </c>
      <c r="G81" s="31"/>
      <c r="H81" s="31"/>
    </row>
    <row r="82" spans="1:8" x14ac:dyDescent="0.2">
      <c r="A82" s="143" t="s">
        <v>129</v>
      </c>
      <c r="B82" s="3"/>
      <c r="C82" s="42"/>
      <c r="D82" s="164"/>
      <c r="E82" s="90">
        <v>0</v>
      </c>
      <c r="G82" s="30"/>
      <c r="H82" s="30"/>
    </row>
    <row r="83" spans="1:8" x14ac:dyDescent="0.2">
      <c r="A83" s="143" t="s">
        <v>99</v>
      </c>
      <c r="B83" s="3"/>
      <c r="C83" s="42"/>
      <c r="D83" s="164"/>
      <c r="E83" s="90">
        <v>0</v>
      </c>
      <c r="G83" s="20"/>
      <c r="H83" s="20"/>
    </row>
    <row r="84" spans="1:8" x14ac:dyDescent="0.2">
      <c r="A84" s="65" t="s">
        <v>8</v>
      </c>
      <c r="B84" s="4"/>
      <c r="C84" s="9"/>
      <c r="D84" s="3"/>
      <c r="E84" s="169">
        <v>0</v>
      </c>
    </row>
    <row r="85" spans="1:8" x14ac:dyDescent="0.2">
      <c r="A85" s="40" t="s">
        <v>130</v>
      </c>
      <c r="B85" s="4"/>
      <c r="C85" s="9"/>
      <c r="D85" s="3"/>
      <c r="E85" s="169">
        <v>0</v>
      </c>
    </row>
    <row r="86" spans="1:8" x14ac:dyDescent="0.2">
      <c r="A86" s="40" t="s">
        <v>99</v>
      </c>
      <c r="B86" s="4"/>
      <c r="C86" s="9"/>
      <c r="D86" s="3"/>
      <c r="E86" s="169">
        <v>0</v>
      </c>
    </row>
    <row r="87" spans="1:8" x14ac:dyDescent="0.2">
      <c r="A87" s="37" t="s">
        <v>131</v>
      </c>
      <c r="B87" s="3"/>
      <c r="C87" s="42"/>
      <c r="D87" s="164"/>
      <c r="E87" s="90">
        <v>0</v>
      </c>
    </row>
    <row r="88" spans="1:8" x14ac:dyDescent="0.2">
      <c r="A88" s="37" t="s">
        <v>99</v>
      </c>
      <c r="B88" s="3"/>
      <c r="C88" s="42"/>
      <c r="D88" s="164"/>
      <c r="E88" s="90">
        <v>0</v>
      </c>
    </row>
    <row r="89" spans="1:8" x14ac:dyDescent="0.2">
      <c r="A89" s="37" t="s">
        <v>131</v>
      </c>
      <c r="B89" s="3"/>
      <c r="C89" s="42"/>
      <c r="D89" s="164"/>
      <c r="E89" s="90">
        <v>0</v>
      </c>
    </row>
    <row r="90" spans="1:8" x14ac:dyDescent="0.2">
      <c r="A90" s="37" t="s">
        <v>99</v>
      </c>
      <c r="B90" s="3"/>
      <c r="C90" s="42"/>
      <c r="D90" s="164"/>
      <c r="E90" s="90">
        <v>0</v>
      </c>
    </row>
    <row r="91" spans="1:8" x14ac:dyDescent="0.2">
      <c r="A91" s="65" t="s">
        <v>12</v>
      </c>
      <c r="B91" s="4"/>
      <c r="C91" s="9"/>
      <c r="D91" s="3"/>
      <c r="E91" s="169">
        <v>0</v>
      </c>
    </row>
    <row r="92" spans="1:8" ht="13.5" customHeight="1" x14ac:dyDescent="0.2">
      <c r="A92" s="37" t="s">
        <v>175</v>
      </c>
      <c r="B92" s="3"/>
      <c r="C92" s="42"/>
      <c r="D92" s="164"/>
      <c r="E92" s="90">
        <v>0</v>
      </c>
      <c r="H92" s="20"/>
    </row>
    <row r="93" spans="1:8" x14ac:dyDescent="0.2">
      <c r="A93" s="37" t="s">
        <v>99</v>
      </c>
      <c r="B93" s="3"/>
      <c r="C93" s="42"/>
      <c r="D93" s="164"/>
      <c r="E93" s="90">
        <v>0</v>
      </c>
    </row>
    <row r="94" spans="1:8" x14ac:dyDescent="0.2">
      <c r="A94" s="37" t="s">
        <v>176</v>
      </c>
      <c r="B94" s="3"/>
      <c r="C94" s="42"/>
      <c r="D94" s="164"/>
      <c r="E94" s="90">
        <v>0</v>
      </c>
    </row>
    <row r="95" spans="1:8" x14ac:dyDescent="0.2">
      <c r="A95" s="37" t="s">
        <v>99</v>
      </c>
      <c r="B95" s="3"/>
      <c r="C95" s="42"/>
      <c r="D95" s="164"/>
      <c r="E95" s="90">
        <v>0</v>
      </c>
    </row>
    <row r="96" spans="1:8" x14ac:dyDescent="0.2">
      <c r="A96" s="37" t="s">
        <v>177</v>
      </c>
      <c r="B96" s="3"/>
      <c r="C96" s="42"/>
      <c r="D96" s="164"/>
      <c r="E96" s="90">
        <v>0</v>
      </c>
    </row>
    <row r="97" spans="1:8" x14ac:dyDescent="0.2">
      <c r="A97" s="37" t="s">
        <v>99</v>
      </c>
      <c r="B97" s="3"/>
      <c r="C97" s="42"/>
      <c r="D97" s="164"/>
      <c r="E97" s="90">
        <v>0</v>
      </c>
    </row>
    <row r="98" spans="1:8" x14ac:dyDescent="0.2">
      <c r="A98" s="143" t="s">
        <v>30</v>
      </c>
      <c r="B98" s="3"/>
      <c r="C98" s="42"/>
      <c r="D98" s="164"/>
      <c r="E98" s="90">
        <v>0</v>
      </c>
    </row>
    <row r="99" spans="1:8" x14ac:dyDescent="0.2">
      <c r="A99" s="143" t="s">
        <v>31</v>
      </c>
      <c r="B99" s="3"/>
      <c r="C99" s="42"/>
      <c r="D99" s="164"/>
      <c r="E99" s="90">
        <v>0</v>
      </c>
    </row>
    <row r="100" spans="1:8" x14ac:dyDescent="0.2">
      <c r="A100" s="156" t="s">
        <v>198</v>
      </c>
      <c r="B100" s="157"/>
      <c r="C100" s="148"/>
      <c r="D100" s="165"/>
      <c r="E100" s="250">
        <f>SUM(E76:E99)</f>
        <v>0</v>
      </c>
    </row>
    <row r="101" spans="1:8" x14ac:dyDescent="0.2">
      <c r="A101" s="131" t="s">
        <v>10</v>
      </c>
      <c r="B101" s="105"/>
      <c r="C101" s="130"/>
      <c r="D101" s="109"/>
      <c r="E101" s="109"/>
      <c r="F101" s="92"/>
    </row>
    <row r="102" spans="1:8" x14ac:dyDescent="0.2">
      <c r="A102" s="144"/>
      <c r="B102" s="3"/>
      <c r="C102" s="9"/>
      <c r="D102" s="10"/>
      <c r="E102" s="7" t="s">
        <v>240</v>
      </c>
    </row>
    <row r="103" spans="1:8" x14ac:dyDescent="0.2">
      <c r="A103" s="143" t="s">
        <v>118</v>
      </c>
      <c r="B103" s="3"/>
      <c r="C103" s="42"/>
      <c r="D103" s="43"/>
      <c r="E103" s="90">
        <v>0</v>
      </c>
    </row>
    <row r="104" spans="1:8" x14ac:dyDescent="0.2">
      <c r="A104" s="143"/>
      <c r="B104" s="3"/>
      <c r="C104" s="225" t="s">
        <v>116</v>
      </c>
      <c r="D104" s="226" t="s">
        <v>257</v>
      </c>
      <c r="E104" s="7" t="s">
        <v>240</v>
      </c>
    </row>
    <row r="105" spans="1:8" x14ac:dyDescent="0.2">
      <c r="A105" s="20" t="s">
        <v>115</v>
      </c>
      <c r="B105" s="5"/>
      <c r="C105" s="150">
        <v>0</v>
      </c>
      <c r="D105" s="151">
        <v>5.5</v>
      </c>
      <c r="E105" s="246">
        <f>+C105*D105</f>
        <v>0</v>
      </c>
    </row>
    <row r="106" spans="1:8" x14ac:dyDescent="0.2">
      <c r="A106" s="152" t="s">
        <v>117</v>
      </c>
      <c r="B106" s="153"/>
      <c r="C106" s="154"/>
      <c r="D106" s="155"/>
      <c r="E106" s="250">
        <f>E105+E103</f>
        <v>0</v>
      </c>
    </row>
    <row r="107" spans="1:8" ht="15" x14ac:dyDescent="0.25">
      <c r="A107" s="110" t="s">
        <v>93</v>
      </c>
      <c r="B107" s="103"/>
      <c r="C107" s="104"/>
      <c r="D107" s="105"/>
      <c r="E107" s="105"/>
      <c r="F107" s="92"/>
      <c r="H107" s="129"/>
    </row>
    <row r="108" spans="1:8" ht="13.5" customHeight="1" x14ac:dyDescent="0.2">
      <c r="A108" s="18"/>
      <c r="B108" s="4"/>
      <c r="C108" s="3"/>
      <c r="D108" s="3"/>
      <c r="E108" s="7" t="s">
        <v>240</v>
      </c>
    </row>
    <row r="109" spans="1:8" ht="13.5" customHeight="1" x14ac:dyDescent="0.2">
      <c r="A109" s="33" t="s">
        <v>232</v>
      </c>
      <c r="B109" s="4"/>
      <c r="C109" s="3"/>
      <c r="D109" s="3"/>
      <c r="E109" s="173">
        <v>185</v>
      </c>
    </row>
    <row r="110" spans="1:8" x14ac:dyDescent="0.2">
      <c r="A110" s="33" t="s">
        <v>28</v>
      </c>
      <c r="B110" s="4"/>
      <c r="C110" s="42"/>
      <c r="D110" s="43"/>
      <c r="E110" s="90">
        <v>25</v>
      </c>
    </row>
    <row r="111" spans="1:8" x14ac:dyDescent="0.2">
      <c r="A111" s="33" t="s">
        <v>102</v>
      </c>
      <c r="B111" s="4"/>
      <c r="C111" s="42"/>
      <c r="D111" s="43"/>
      <c r="E111" s="90">
        <v>0</v>
      </c>
    </row>
    <row r="112" spans="1:8" ht="15" x14ac:dyDescent="0.25">
      <c r="A112" s="33" t="s">
        <v>91</v>
      </c>
      <c r="B112" s="40" t="s">
        <v>233</v>
      </c>
      <c r="C112" s="42"/>
      <c r="D112" s="43"/>
      <c r="E112" s="90">
        <v>0</v>
      </c>
      <c r="H112" s="128"/>
    </row>
    <row r="113" spans="1:8" ht="15" x14ac:dyDescent="0.25">
      <c r="A113" s="33" t="s">
        <v>101</v>
      </c>
      <c r="B113" s="40"/>
      <c r="C113" s="42"/>
      <c r="D113" s="43"/>
      <c r="E113" s="193">
        <v>2.5</v>
      </c>
      <c r="H113" s="128"/>
    </row>
    <row r="114" spans="1:8" x14ac:dyDescent="0.2">
      <c r="A114" s="146" t="s">
        <v>120</v>
      </c>
      <c r="B114" s="147"/>
      <c r="C114" s="148"/>
      <c r="D114" s="149"/>
      <c r="E114" s="250">
        <f>SUM(E109:E113)</f>
        <v>212.5</v>
      </c>
    </row>
    <row r="115" spans="1:8" x14ac:dyDescent="0.2">
      <c r="A115" s="92"/>
      <c r="B115" s="103"/>
      <c r="C115" s="135"/>
      <c r="D115" s="136"/>
      <c r="E115" s="133"/>
      <c r="F115" s="92"/>
    </row>
    <row r="116" spans="1:8" x14ac:dyDescent="0.2">
      <c r="A116" s="287" t="s">
        <v>202</v>
      </c>
      <c r="B116" s="288"/>
      <c r="C116" s="289"/>
      <c r="D116" s="290"/>
      <c r="E116" s="250">
        <f>E60+E73+E100+E106+E114</f>
        <v>429.8</v>
      </c>
    </row>
    <row r="117" spans="1:8" x14ac:dyDescent="0.2">
      <c r="A117" s="14"/>
      <c r="B117" s="3"/>
      <c r="C117" s="9"/>
      <c r="D117" s="10"/>
      <c r="E117" s="126"/>
    </row>
    <row r="118" spans="1:8" x14ac:dyDescent="0.2">
      <c r="A118" s="111" t="s">
        <v>100</v>
      </c>
      <c r="B118" s="92"/>
      <c r="C118" s="127"/>
      <c r="D118" s="103"/>
      <c r="E118" s="92"/>
      <c r="F118" s="92"/>
    </row>
    <row r="119" spans="1:8" x14ac:dyDescent="0.2">
      <c r="A119" s="11" t="s">
        <v>121</v>
      </c>
      <c r="C119" s="219" t="s">
        <v>256</v>
      </c>
      <c r="D119" s="228" t="s">
        <v>255</v>
      </c>
      <c r="E119" s="7" t="s">
        <v>240</v>
      </c>
    </row>
    <row r="120" spans="1:8" x14ac:dyDescent="0.2">
      <c r="A120" s="199" t="s">
        <v>82</v>
      </c>
      <c r="B120" s="4"/>
      <c r="C120" s="68">
        <v>0</v>
      </c>
      <c r="D120" s="89">
        <v>20</v>
      </c>
      <c r="E120" s="241">
        <f>C120*D120</f>
        <v>0</v>
      </c>
    </row>
    <row r="121" spans="1:8" x14ac:dyDescent="0.2">
      <c r="A121" s="199" t="s">
        <v>9</v>
      </c>
      <c r="B121" s="4"/>
      <c r="C121" s="68">
        <v>0</v>
      </c>
      <c r="D121" s="90">
        <v>18</v>
      </c>
      <c r="E121" s="241">
        <f t="shared" ref="E121:E128" si="4">C121*D121</f>
        <v>0</v>
      </c>
    </row>
    <row r="122" spans="1:8" x14ac:dyDescent="0.2">
      <c r="A122" s="199" t="s">
        <v>327</v>
      </c>
      <c r="B122" s="4"/>
      <c r="C122" s="68">
        <v>0</v>
      </c>
      <c r="D122" s="90">
        <v>22.5</v>
      </c>
      <c r="E122" s="241">
        <f t="shared" si="4"/>
        <v>0</v>
      </c>
    </row>
    <row r="123" spans="1:8" x14ac:dyDescent="0.2">
      <c r="A123" s="199"/>
      <c r="B123" s="4"/>
      <c r="C123" s="68"/>
      <c r="D123" s="90">
        <v>0</v>
      </c>
      <c r="E123" s="241">
        <f t="shared" si="4"/>
        <v>0</v>
      </c>
    </row>
    <row r="124" spans="1:8" x14ac:dyDescent="0.2">
      <c r="A124" s="199"/>
      <c r="B124" s="4"/>
      <c r="C124" s="68"/>
      <c r="D124" s="90">
        <v>0</v>
      </c>
      <c r="E124" s="241">
        <f t="shared" si="4"/>
        <v>0</v>
      </c>
    </row>
    <row r="125" spans="1:8" ht="14.25" customHeight="1" x14ac:dyDescent="0.2">
      <c r="A125" s="213" t="s">
        <v>108</v>
      </c>
      <c r="B125" s="4"/>
      <c r="C125" s="68">
        <v>0</v>
      </c>
      <c r="D125" s="90">
        <v>18</v>
      </c>
      <c r="E125" s="241">
        <f t="shared" si="4"/>
        <v>0</v>
      </c>
    </row>
    <row r="126" spans="1:8" ht="14.25" customHeight="1" x14ac:dyDescent="0.2">
      <c r="A126" s="213"/>
      <c r="B126" s="4"/>
      <c r="C126" s="68"/>
      <c r="D126" s="90">
        <v>0</v>
      </c>
      <c r="E126" s="241">
        <v>0</v>
      </c>
    </row>
    <row r="127" spans="1:8" ht="14.25" customHeight="1" x14ac:dyDescent="0.2">
      <c r="A127" s="213"/>
      <c r="B127" s="4"/>
      <c r="C127" s="68"/>
      <c r="D127" s="90">
        <v>0</v>
      </c>
      <c r="E127" s="241">
        <v>0</v>
      </c>
    </row>
    <row r="128" spans="1:8" ht="12" customHeight="1" x14ac:dyDescent="0.2">
      <c r="A128" s="213"/>
      <c r="B128" s="3"/>
      <c r="C128" s="68"/>
      <c r="D128" s="90">
        <v>0</v>
      </c>
      <c r="E128" s="241">
        <f t="shared" si="4"/>
        <v>0</v>
      </c>
    </row>
    <row r="129" spans="1:19" ht="12.75" customHeight="1" x14ac:dyDescent="0.2">
      <c r="A129" s="199"/>
      <c r="B129" s="292"/>
      <c r="C129" s="68"/>
      <c r="D129" s="90">
        <v>0</v>
      </c>
      <c r="E129" s="245">
        <f>C129*D129</f>
        <v>0</v>
      </c>
    </row>
    <row r="130" spans="1:19" ht="12" customHeight="1" x14ac:dyDescent="0.2">
      <c r="A130" s="287" t="s">
        <v>183</v>
      </c>
      <c r="B130" s="288"/>
      <c r="C130" s="289"/>
      <c r="D130" s="291"/>
      <c r="E130" s="250">
        <f>SUM(E120:E129)</f>
        <v>0</v>
      </c>
      <c r="H130" s="322"/>
    </row>
    <row r="131" spans="1:19" ht="12" customHeight="1" x14ac:dyDescent="0.2">
      <c r="A131" s="8"/>
      <c r="B131" s="3"/>
      <c r="C131" s="9"/>
      <c r="D131" s="3"/>
      <c r="E131" s="126"/>
      <c r="H131" s="323"/>
      <c r="I131" s="322" t="s">
        <v>336</v>
      </c>
    </row>
    <row r="132" spans="1:19" ht="12.75" customHeight="1" x14ac:dyDescent="0.2">
      <c r="A132" s="14" t="s">
        <v>220</v>
      </c>
      <c r="B132" s="3"/>
      <c r="C132" s="7" t="s">
        <v>312</v>
      </c>
      <c r="D132" s="7" t="s">
        <v>255</v>
      </c>
      <c r="E132" s="7" t="s">
        <v>240</v>
      </c>
      <c r="I132" s="323" t="s">
        <v>355</v>
      </c>
    </row>
    <row r="133" spans="1:19" ht="12.75" customHeight="1" x14ac:dyDescent="0.2">
      <c r="A133" s="196" t="s">
        <v>346</v>
      </c>
      <c r="B133" s="3"/>
      <c r="C133" s="68">
        <v>4</v>
      </c>
      <c r="D133" s="91">
        <v>18</v>
      </c>
      <c r="E133" s="245">
        <f>C133*D133</f>
        <v>72</v>
      </c>
      <c r="H133" s="322"/>
    </row>
    <row r="134" spans="1:19" ht="12.75" customHeight="1" x14ac:dyDescent="0.2">
      <c r="A134" s="199" t="s">
        <v>350</v>
      </c>
      <c r="B134" s="40"/>
      <c r="C134" s="68">
        <v>4</v>
      </c>
      <c r="D134" s="91">
        <v>8</v>
      </c>
      <c r="E134" s="245">
        <f t="shared" ref="E134:E140" si="5">C134*D134</f>
        <v>32</v>
      </c>
      <c r="H134" s="323"/>
      <c r="I134" s="322" t="s">
        <v>334</v>
      </c>
      <c r="S134" s="4"/>
    </row>
    <row r="135" spans="1:19" ht="12.75" customHeight="1" x14ac:dyDescent="0.2">
      <c r="A135" s="199"/>
      <c r="B135" s="4"/>
      <c r="C135" s="68"/>
      <c r="D135" s="91">
        <v>0</v>
      </c>
      <c r="E135" s="245">
        <f t="shared" si="5"/>
        <v>0</v>
      </c>
      <c r="I135" s="323" t="s">
        <v>335</v>
      </c>
      <c r="S135" s="4"/>
    </row>
    <row r="136" spans="1:19" ht="12.75" customHeight="1" x14ac:dyDescent="0.2">
      <c r="A136" s="199"/>
      <c r="B136" s="40"/>
      <c r="C136" s="68"/>
      <c r="D136" s="91">
        <v>0</v>
      </c>
      <c r="E136" s="245">
        <f t="shared" si="5"/>
        <v>0</v>
      </c>
      <c r="H136" s="322"/>
      <c r="I136" s="36" t="s">
        <v>357</v>
      </c>
      <c r="S136" s="4"/>
    </row>
    <row r="137" spans="1:19" ht="12.75" customHeight="1" x14ac:dyDescent="0.2">
      <c r="A137" s="199"/>
      <c r="B137" s="40"/>
      <c r="C137" s="68"/>
      <c r="D137" s="91">
        <v>0</v>
      </c>
      <c r="E137" s="245">
        <f t="shared" si="5"/>
        <v>0</v>
      </c>
      <c r="H137" s="323"/>
      <c r="S137" s="4"/>
    </row>
    <row r="138" spans="1:19" ht="12.75" customHeight="1" x14ac:dyDescent="0.2">
      <c r="A138" s="199"/>
      <c r="B138" s="40"/>
      <c r="C138" s="68"/>
      <c r="D138" s="91">
        <v>0</v>
      </c>
      <c r="E138" s="245">
        <f t="shared" si="5"/>
        <v>0</v>
      </c>
      <c r="I138" t="s">
        <v>358</v>
      </c>
      <c r="S138" s="4"/>
    </row>
    <row r="139" spans="1:19" ht="12.75" customHeight="1" x14ac:dyDescent="0.2">
      <c r="A139" s="199"/>
      <c r="B139" s="40"/>
      <c r="C139" s="68"/>
      <c r="D139" s="91">
        <v>0</v>
      </c>
      <c r="E139" s="245">
        <f t="shared" si="5"/>
        <v>0</v>
      </c>
      <c r="H139" s="322"/>
      <c r="I139" s="323" t="s">
        <v>359</v>
      </c>
      <c r="S139" s="4"/>
    </row>
    <row r="140" spans="1:19" ht="12.75" customHeight="1" x14ac:dyDescent="0.2">
      <c r="A140" s="199"/>
      <c r="B140" s="295"/>
      <c r="C140" s="68"/>
      <c r="D140" s="90">
        <v>0</v>
      </c>
      <c r="E140" s="245">
        <f t="shared" si="5"/>
        <v>0</v>
      </c>
      <c r="H140" s="323"/>
      <c r="S140" s="4"/>
    </row>
    <row r="141" spans="1:19" ht="12.75" customHeight="1" x14ac:dyDescent="0.2">
      <c r="A141" s="168" t="s">
        <v>221</v>
      </c>
      <c r="B141" s="132"/>
      <c r="C141" s="293"/>
      <c r="D141" s="297"/>
      <c r="E141" s="298">
        <f>SUM(E133:E140)</f>
        <v>104</v>
      </c>
      <c r="I141" s="322" t="s">
        <v>337</v>
      </c>
      <c r="S141" s="4"/>
    </row>
    <row r="142" spans="1:19" ht="12.75" customHeight="1" x14ac:dyDescent="0.2">
      <c r="A142" s="40"/>
      <c r="B142" s="40"/>
      <c r="C142" s="42"/>
      <c r="D142" s="164"/>
      <c r="E142" s="93"/>
      <c r="I142" s="323" t="s">
        <v>338</v>
      </c>
      <c r="S142" s="4"/>
    </row>
    <row r="143" spans="1:19" ht="12.75" customHeight="1" x14ac:dyDescent="0.2">
      <c r="A143" s="198" t="s">
        <v>271</v>
      </c>
      <c r="B143" s="7" t="s">
        <v>311</v>
      </c>
      <c r="C143" s="225" t="s">
        <v>268</v>
      </c>
      <c r="D143" s="226" t="s">
        <v>267</v>
      </c>
      <c r="E143" s="7" t="s">
        <v>240</v>
      </c>
      <c r="S143" s="4"/>
    </row>
    <row r="144" spans="1:19" ht="12.75" customHeight="1" x14ac:dyDescent="0.2">
      <c r="A144" s="199" t="s">
        <v>160</v>
      </c>
      <c r="B144" s="207"/>
      <c r="C144" s="68"/>
      <c r="D144" s="90">
        <v>0</v>
      </c>
      <c r="E144" s="245">
        <f t="shared" ref="E144:E145" si="6">IFERROR((D144/C144)*B144,0)</f>
        <v>0</v>
      </c>
      <c r="I144" s="322" t="s">
        <v>339</v>
      </c>
      <c r="S144" s="4"/>
    </row>
    <row r="145" spans="1:19" ht="12.75" customHeight="1" x14ac:dyDescent="0.2">
      <c r="A145" s="199"/>
      <c r="B145" s="207"/>
      <c r="C145" s="68"/>
      <c r="D145" s="91">
        <v>0</v>
      </c>
      <c r="E145" s="245">
        <f t="shared" si="6"/>
        <v>0</v>
      </c>
      <c r="I145" s="323" t="s">
        <v>356</v>
      </c>
      <c r="S145" s="4"/>
    </row>
    <row r="146" spans="1:19" ht="12.75" customHeight="1" x14ac:dyDescent="0.2">
      <c r="A146" s="199"/>
      <c r="B146" s="207"/>
      <c r="C146" s="68"/>
      <c r="D146" s="91">
        <v>0</v>
      </c>
      <c r="E146" s="245">
        <f>IFERROR((D146/C146)*B146,0)</f>
        <v>0</v>
      </c>
      <c r="S146" s="4"/>
    </row>
    <row r="147" spans="1:19" ht="12.75" customHeight="1" x14ac:dyDescent="0.2">
      <c r="A147" s="199"/>
      <c r="B147" s="207"/>
      <c r="C147" s="68"/>
      <c r="D147" s="91">
        <v>0</v>
      </c>
      <c r="E147" s="245">
        <f t="shared" ref="E147:E151" si="7">IFERROR((D147/C147)*B147,0)</f>
        <v>0</v>
      </c>
      <c r="S147" s="4"/>
    </row>
    <row r="148" spans="1:19" ht="12.75" customHeight="1" x14ac:dyDescent="0.2">
      <c r="A148" s="199"/>
      <c r="B148" s="207"/>
      <c r="C148" s="68"/>
      <c r="D148" s="91">
        <v>0</v>
      </c>
      <c r="E148" s="245">
        <f t="shared" si="7"/>
        <v>0</v>
      </c>
      <c r="S148" s="4"/>
    </row>
    <row r="149" spans="1:19" ht="12.75" customHeight="1" x14ac:dyDescent="0.2">
      <c r="A149" s="199"/>
      <c r="B149" s="207"/>
      <c r="C149" s="68"/>
      <c r="D149" s="91">
        <v>0</v>
      </c>
      <c r="E149" s="245">
        <f t="shared" si="7"/>
        <v>0</v>
      </c>
      <c r="S149" s="4"/>
    </row>
    <row r="150" spans="1:19" ht="12.75" customHeight="1" x14ac:dyDescent="0.2">
      <c r="A150" s="230"/>
      <c r="B150" s="207"/>
      <c r="C150" s="77"/>
      <c r="D150" s="174">
        <v>0</v>
      </c>
      <c r="E150" s="245">
        <f t="shared" si="7"/>
        <v>0</v>
      </c>
      <c r="S150" s="4"/>
    </row>
    <row r="151" spans="1:19" ht="12.75" customHeight="1" x14ac:dyDescent="0.2">
      <c r="A151" s="199"/>
      <c r="B151" s="207"/>
      <c r="C151" s="68"/>
      <c r="D151" s="90">
        <v>0</v>
      </c>
      <c r="E151" s="245">
        <f t="shared" si="7"/>
        <v>0</v>
      </c>
      <c r="S151" s="4"/>
    </row>
    <row r="152" spans="1:19" ht="12.75" customHeight="1" x14ac:dyDescent="0.2">
      <c r="A152" s="302" t="s">
        <v>222</v>
      </c>
      <c r="B152" s="303"/>
      <c r="C152" s="304"/>
      <c r="D152" s="305"/>
      <c r="E152" s="250">
        <f>SUM(E144:E151)</f>
        <v>0</v>
      </c>
      <c r="S152" s="4"/>
    </row>
    <row r="153" spans="1:19" ht="12.75" customHeight="1" x14ac:dyDescent="0.2">
      <c r="A153" s="40"/>
      <c r="B153" s="40"/>
      <c r="C153" s="42"/>
      <c r="D153" s="164"/>
      <c r="E153" s="93"/>
      <c r="S153" s="4"/>
    </row>
    <row r="154" spans="1:19" ht="12.75" customHeight="1" x14ac:dyDescent="0.2">
      <c r="A154" s="260" t="s">
        <v>309</v>
      </c>
      <c r="B154" s="40"/>
      <c r="C154" s="225" t="s">
        <v>310</v>
      </c>
      <c r="D154" s="234" t="s">
        <v>301</v>
      </c>
      <c r="E154" s="93"/>
      <c r="S154" s="4"/>
    </row>
    <row r="155" spans="1:19" ht="12.75" customHeight="1" x14ac:dyDescent="0.2">
      <c r="A155" s="199"/>
      <c r="B155" s="40"/>
      <c r="C155" s="68"/>
      <c r="D155" s="90">
        <v>0</v>
      </c>
      <c r="E155" s="245">
        <f>C155*D155</f>
        <v>0</v>
      </c>
      <c r="S155" s="4"/>
    </row>
    <row r="156" spans="1:19" ht="12.75" customHeight="1" x14ac:dyDescent="0.2">
      <c r="A156" s="199"/>
      <c r="B156" s="40"/>
      <c r="C156" s="68"/>
      <c r="D156" s="91">
        <v>0</v>
      </c>
      <c r="E156" s="245">
        <f t="shared" ref="E156:E161" si="8">C156*D156</f>
        <v>0</v>
      </c>
      <c r="S156" s="4"/>
    </row>
    <row r="157" spans="1:19" ht="12.75" customHeight="1" x14ac:dyDescent="0.2">
      <c r="A157" s="199" t="s">
        <v>351</v>
      </c>
      <c r="B157" s="40"/>
      <c r="C157" s="68">
        <v>10</v>
      </c>
      <c r="D157" s="91">
        <v>12</v>
      </c>
      <c r="E157" s="245">
        <f t="shared" si="8"/>
        <v>120</v>
      </c>
      <c r="S157" s="4"/>
    </row>
    <row r="158" spans="1:19" ht="12.75" customHeight="1" x14ac:dyDescent="0.2">
      <c r="A158" s="199"/>
      <c r="B158" s="40"/>
      <c r="C158" s="68"/>
      <c r="D158" s="91">
        <v>0</v>
      </c>
      <c r="E158" s="245">
        <f t="shared" si="8"/>
        <v>0</v>
      </c>
      <c r="S158" s="4"/>
    </row>
    <row r="159" spans="1:19" ht="12.75" customHeight="1" x14ac:dyDescent="0.2">
      <c r="A159" s="199"/>
      <c r="B159" s="40"/>
      <c r="C159" s="68"/>
      <c r="D159" s="91">
        <v>0</v>
      </c>
      <c r="E159" s="245">
        <f t="shared" si="8"/>
        <v>0</v>
      </c>
      <c r="S159" s="4"/>
    </row>
    <row r="160" spans="1:19" ht="12.75" customHeight="1" x14ac:dyDescent="0.2">
      <c r="A160" s="199"/>
      <c r="B160" s="40"/>
      <c r="C160" s="68"/>
      <c r="D160" s="91">
        <v>0</v>
      </c>
      <c r="E160" s="245">
        <f t="shared" si="8"/>
        <v>0</v>
      </c>
      <c r="S160" s="4"/>
    </row>
    <row r="161" spans="1:19" ht="12.75" customHeight="1" x14ac:dyDescent="0.2">
      <c r="A161" s="199"/>
      <c r="B161" s="295"/>
      <c r="C161" s="68"/>
      <c r="D161" s="90">
        <v>0</v>
      </c>
      <c r="E161" s="245">
        <f t="shared" si="8"/>
        <v>0</v>
      </c>
      <c r="S161" s="4"/>
    </row>
    <row r="162" spans="1:19" ht="12.75" customHeight="1" x14ac:dyDescent="0.2">
      <c r="A162" s="301" t="s">
        <v>223</v>
      </c>
      <c r="B162" s="132"/>
      <c r="C162" s="293"/>
      <c r="D162" s="297"/>
      <c r="E162" s="250">
        <f>SUM(E155:E161)</f>
        <v>120</v>
      </c>
      <c r="S162" s="4"/>
    </row>
    <row r="163" spans="1:19" ht="12.75" customHeight="1" x14ac:dyDescent="0.2">
      <c r="A163" s="40"/>
      <c r="B163" s="40"/>
      <c r="C163" s="42"/>
      <c r="D163" s="164"/>
      <c r="E163" s="93"/>
      <c r="S163" s="4"/>
    </row>
    <row r="164" spans="1:19" ht="12.75" customHeight="1" x14ac:dyDescent="0.2">
      <c r="A164" s="260" t="s">
        <v>273</v>
      </c>
      <c r="B164" s="40"/>
      <c r="C164" s="225" t="s">
        <v>308</v>
      </c>
      <c r="D164" s="226" t="s">
        <v>239</v>
      </c>
      <c r="E164" s="93"/>
      <c r="S164" s="4"/>
    </row>
    <row r="165" spans="1:19" ht="12.75" customHeight="1" x14ac:dyDescent="0.2">
      <c r="A165" s="199"/>
      <c r="B165" s="40"/>
      <c r="C165" s="68"/>
      <c r="D165" s="90">
        <v>0</v>
      </c>
      <c r="E165" s="245">
        <f>C165*D165</f>
        <v>0</v>
      </c>
      <c r="S165" s="4"/>
    </row>
    <row r="166" spans="1:19" ht="12.75" customHeight="1" x14ac:dyDescent="0.2">
      <c r="A166" s="199"/>
      <c r="B166" s="40"/>
      <c r="C166" s="68"/>
      <c r="D166" s="90">
        <v>0</v>
      </c>
      <c r="E166" s="245">
        <f t="shared" ref="E166:E171" si="9">C166*D166</f>
        <v>0</v>
      </c>
      <c r="S166" s="4"/>
    </row>
    <row r="167" spans="1:19" ht="12.75" customHeight="1" x14ac:dyDescent="0.2">
      <c r="A167" s="199"/>
      <c r="B167" s="40"/>
      <c r="C167" s="68"/>
      <c r="D167" s="90">
        <v>0</v>
      </c>
      <c r="E167" s="245">
        <f t="shared" si="9"/>
        <v>0</v>
      </c>
      <c r="S167" s="4"/>
    </row>
    <row r="168" spans="1:19" ht="12.75" customHeight="1" x14ac:dyDescent="0.2">
      <c r="A168" s="199"/>
      <c r="B168" s="40"/>
      <c r="C168" s="68"/>
      <c r="D168" s="90">
        <v>0</v>
      </c>
      <c r="E168" s="245">
        <f t="shared" si="9"/>
        <v>0</v>
      </c>
      <c r="S168" s="4"/>
    </row>
    <row r="169" spans="1:19" ht="12.75" customHeight="1" x14ac:dyDescent="0.2">
      <c r="A169" s="199"/>
      <c r="B169" s="40"/>
      <c r="C169" s="68"/>
      <c r="D169" s="90">
        <v>0</v>
      </c>
      <c r="E169" s="245">
        <f t="shared" si="9"/>
        <v>0</v>
      </c>
      <c r="S169" s="4"/>
    </row>
    <row r="170" spans="1:19" ht="12.75" customHeight="1" x14ac:dyDescent="0.2">
      <c r="A170" s="230"/>
      <c r="B170" s="40"/>
      <c r="C170" s="68"/>
      <c r="D170" s="193">
        <v>0</v>
      </c>
      <c r="E170" s="246">
        <f t="shared" si="9"/>
        <v>0</v>
      </c>
      <c r="S170" s="4"/>
    </row>
    <row r="171" spans="1:19" ht="12.75" customHeight="1" x14ac:dyDescent="0.2">
      <c r="A171" s="199"/>
      <c r="B171" s="295"/>
      <c r="C171" s="68"/>
      <c r="D171" s="90">
        <v>0</v>
      </c>
      <c r="E171" s="245">
        <f t="shared" si="9"/>
        <v>0</v>
      </c>
      <c r="S171" s="4"/>
    </row>
    <row r="172" spans="1:19" ht="12.75" customHeight="1" x14ac:dyDescent="0.2">
      <c r="A172" s="302" t="s">
        <v>224</v>
      </c>
      <c r="B172" s="303"/>
      <c r="C172" s="304"/>
      <c r="D172" s="305"/>
      <c r="E172" s="250">
        <f>SUM(E165:E171)</f>
        <v>0</v>
      </c>
      <c r="S172" s="4"/>
    </row>
    <row r="173" spans="1:19" ht="12.75" customHeight="1" x14ac:dyDescent="0.2">
      <c r="A173" s="40"/>
      <c r="B173" s="40"/>
      <c r="C173" s="42"/>
      <c r="D173" s="164"/>
      <c r="E173" s="93"/>
      <c r="S173" s="4"/>
    </row>
    <row r="174" spans="1:19" ht="12.75" customHeight="1" x14ac:dyDescent="0.2">
      <c r="A174" s="198" t="s">
        <v>34</v>
      </c>
      <c r="B174" s="7" t="s">
        <v>275</v>
      </c>
      <c r="C174" s="225" t="s">
        <v>124</v>
      </c>
      <c r="D174" s="235" t="s">
        <v>253</v>
      </c>
      <c r="E174" s="7" t="s">
        <v>240</v>
      </c>
      <c r="S174" s="4"/>
    </row>
    <row r="175" spans="1:19" ht="12.75" customHeight="1" x14ac:dyDescent="0.2">
      <c r="A175" s="199" t="s">
        <v>134</v>
      </c>
      <c r="B175" s="207">
        <v>15</v>
      </c>
      <c r="C175" s="68">
        <v>10</v>
      </c>
      <c r="D175" s="71">
        <v>4</v>
      </c>
      <c r="E175" s="245">
        <f>((C175*D175)*((C14+C15)/B175))</f>
        <v>15.2</v>
      </c>
      <c r="S175" s="4"/>
    </row>
    <row r="176" spans="1:19" ht="12.75" customHeight="1" x14ac:dyDescent="0.2">
      <c r="A176" s="230"/>
      <c r="B176" s="207">
        <v>10</v>
      </c>
      <c r="C176" s="77"/>
      <c r="D176" s="174"/>
      <c r="E176" s="246">
        <f>((C176*D176)*(C16/B176))</f>
        <v>0</v>
      </c>
      <c r="S176" s="4"/>
    </row>
    <row r="177" spans="1:19" ht="12.75" customHeight="1" x14ac:dyDescent="0.2">
      <c r="A177" s="146" t="s">
        <v>123</v>
      </c>
      <c r="B177" s="147"/>
      <c r="C177" s="148"/>
      <c r="D177" s="149"/>
      <c r="E177" s="250">
        <f>E141+E152+E162+E172+E175+E176</f>
        <v>239.2</v>
      </c>
      <c r="S177" s="4"/>
    </row>
    <row r="178" spans="1:19" ht="12.75" customHeight="1" x14ac:dyDescent="0.2">
      <c r="A178" s="110" t="s">
        <v>32</v>
      </c>
      <c r="B178" s="106"/>
      <c r="C178" s="107"/>
      <c r="D178" s="108"/>
      <c r="E178" s="109"/>
      <c r="F178" s="92"/>
      <c r="S178" s="4"/>
    </row>
    <row r="179" spans="1:19" ht="12.75" customHeight="1" x14ac:dyDescent="0.2">
      <c r="A179" s="40"/>
      <c r="B179" s="236" t="s">
        <v>179</v>
      </c>
      <c r="C179" s="236" t="s">
        <v>276</v>
      </c>
      <c r="D179" s="237" t="s">
        <v>277</v>
      </c>
      <c r="E179" s="7" t="s">
        <v>240</v>
      </c>
      <c r="S179" s="4"/>
    </row>
    <row r="180" spans="1:19" ht="12.75" customHeight="1" x14ac:dyDescent="0.2">
      <c r="A180" s="199" t="s">
        <v>181</v>
      </c>
      <c r="B180" s="218">
        <v>0</v>
      </c>
      <c r="C180" s="172"/>
      <c r="D180" s="173"/>
      <c r="E180" s="274">
        <f>IFERROR(((D180/C180)*($C$14+$C$15))*B180,0)</f>
        <v>0</v>
      </c>
      <c r="S180" s="4"/>
    </row>
    <row r="181" spans="1:19" ht="12.75" customHeight="1" x14ac:dyDescent="0.25">
      <c r="A181" s="199" t="s">
        <v>400</v>
      </c>
      <c r="B181" s="218">
        <v>0</v>
      </c>
      <c r="C181" s="68"/>
      <c r="D181" s="90"/>
      <c r="E181" s="245">
        <f t="shared" ref="E181:E182" si="10">IFERROR(((D181/C181)*($C$14+$C$15))*B181,0)</f>
        <v>0</v>
      </c>
      <c r="H181" s="188" t="s">
        <v>360</v>
      </c>
      <c r="I181" s="177"/>
      <c r="J181" s="177"/>
      <c r="K181" s="177"/>
      <c r="L181" s="178"/>
      <c r="M181" s="179"/>
      <c r="S181" s="4"/>
    </row>
    <row r="182" spans="1:19" ht="12.75" customHeight="1" x14ac:dyDescent="0.25">
      <c r="A182" s="199" t="s">
        <v>399</v>
      </c>
      <c r="B182" s="218">
        <v>0</v>
      </c>
      <c r="C182" s="68"/>
      <c r="D182" s="90"/>
      <c r="E182" s="245">
        <f t="shared" si="10"/>
        <v>0</v>
      </c>
      <c r="H182" s="331" t="s">
        <v>361</v>
      </c>
      <c r="I182" s="332"/>
      <c r="J182" s="181"/>
      <c r="K182" s="182"/>
      <c r="L182" s="333" t="s">
        <v>362</v>
      </c>
      <c r="M182" s="334"/>
      <c r="S182" s="4"/>
    </row>
    <row r="183" spans="1:19" ht="12.75" customHeight="1" x14ac:dyDescent="0.25">
      <c r="A183" s="192"/>
      <c r="B183" s="40" t="s">
        <v>180</v>
      </c>
      <c r="C183" s="134" t="s">
        <v>279</v>
      </c>
      <c r="D183" s="300" t="s">
        <v>278</v>
      </c>
      <c r="E183" s="102"/>
      <c r="H183" s="335" t="s">
        <v>363</v>
      </c>
      <c r="I183" s="181"/>
      <c r="J183" s="181"/>
      <c r="K183" s="181"/>
      <c r="L183" s="332" t="s">
        <v>364</v>
      </c>
      <c r="M183" s="184"/>
      <c r="S183" s="4"/>
    </row>
    <row r="184" spans="1:19" ht="12.75" customHeight="1" x14ac:dyDescent="0.25">
      <c r="A184" s="199" t="s">
        <v>178</v>
      </c>
      <c r="B184" s="207"/>
      <c r="C184" s="68"/>
      <c r="D184" s="90"/>
      <c r="E184" s="245">
        <f>IFERROR(((D184/C184)*($C$14+$C$15))*B184,0)</f>
        <v>0</v>
      </c>
      <c r="H184" s="335" t="s">
        <v>365</v>
      </c>
      <c r="I184" s="181"/>
      <c r="J184" s="181"/>
      <c r="K184" s="181"/>
      <c r="L184" s="332" t="s">
        <v>372</v>
      </c>
      <c r="M184" s="184"/>
      <c r="S184" s="4"/>
    </row>
    <row r="185" spans="1:19" ht="12.75" customHeight="1" x14ac:dyDescent="0.25">
      <c r="A185" s="40"/>
      <c r="B185" s="40"/>
      <c r="C185" s="44"/>
      <c r="D185" s="226" t="s">
        <v>155</v>
      </c>
      <c r="E185" s="7" t="s">
        <v>240</v>
      </c>
      <c r="H185" s="335" t="s">
        <v>366</v>
      </c>
      <c r="I185" s="181"/>
      <c r="J185" s="181"/>
      <c r="K185" s="181"/>
      <c r="L185" s="332" t="s">
        <v>373</v>
      </c>
      <c r="M185" s="184"/>
      <c r="S185" s="4"/>
    </row>
    <row r="186" spans="1:19" ht="12.75" customHeight="1" x14ac:dyDescent="0.25">
      <c r="A186" s="40" t="s">
        <v>213</v>
      </c>
      <c r="B186" s="189"/>
      <c r="C186" s="42"/>
      <c r="D186" s="191">
        <v>0.1</v>
      </c>
      <c r="E186" s="251">
        <f>(E18)*D186</f>
        <v>94.050000000000011</v>
      </c>
      <c r="H186" s="335" t="s">
        <v>367</v>
      </c>
      <c r="I186" s="181"/>
      <c r="J186" s="181"/>
      <c r="K186" s="181"/>
      <c r="L186" s="332" t="s">
        <v>374</v>
      </c>
      <c r="M186" s="184"/>
      <c r="S186" s="4"/>
    </row>
    <row r="187" spans="1:19" ht="12.75" customHeight="1" x14ac:dyDescent="0.25">
      <c r="A187" s="138" t="s">
        <v>104</v>
      </c>
      <c r="B187" s="106"/>
      <c r="C187" s="139"/>
      <c r="D187" s="140"/>
      <c r="E187" s="141"/>
      <c r="F187" s="92"/>
      <c r="H187" s="335" t="s">
        <v>368</v>
      </c>
      <c r="I187" s="336"/>
      <c r="J187" s="336"/>
      <c r="K187" s="336"/>
      <c r="L187" s="336" t="s">
        <v>375</v>
      </c>
      <c r="M187" s="338"/>
      <c r="S187" s="4"/>
    </row>
    <row r="188" spans="1:19" ht="12.75" customHeight="1" x14ac:dyDescent="0.25">
      <c r="A188" s="40"/>
      <c r="B188" s="40"/>
      <c r="C188" s="225" t="s">
        <v>125</v>
      </c>
      <c r="D188" s="226" t="s">
        <v>105</v>
      </c>
      <c r="E188" s="54" t="s">
        <v>240</v>
      </c>
      <c r="G188" s="20"/>
      <c r="H188" s="335" t="s">
        <v>369</v>
      </c>
      <c r="I188" s="336"/>
      <c r="J188" s="336"/>
      <c r="K188" s="336"/>
      <c r="L188" s="336" t="s">
        <v>376</v>
      </c>
      <c r="M188" s="338"/>
      <c r="S188" s="4"/>
    </row>
    <row r="189" spans="1:19" ht="12.75" customHeight="1" x14ac:dyDescent="0.25">
      <c r="A189" s="266" t="s">
        <v>45</v>
      </c>
      <c r="B189" s="267"/>
      <c r="C189" s="167">
        <v>1.5</v>
      </c>
      <c r="D189" s="90">
        <v>25</v>
      </c>
      <c r="E189" s="245">
        <f>C189*D189</f>
        <v>37.5</v>
      </c>
      <c r="H189" s="335" t="s">
        <v>370</v>
      </c>
      <c r="I189" s="336"/>
      <c r="J189" s="336"/>
      <c r="K189" s="336"/>
      <c r="L189" s="336" t="s">
        <v>377</v>
      </c>
      <c r="M189" s="338"/>
      <c r="S189" s="4"/>
    </row>
    <row r="190" spans="1:19" ht="12.75" customHeight="1" x14ac:dyDescent="0.25">
      <c r="A190" s="40"/>
      <c r="B190" s="40"/>
      <c r="C190" s="42"/>
      <c r="D190" s="43"/>
      <c r="E190" s="10"/>
      <c r="H190" s="340" t="s">
        <v>371</v>
      </c>
      <c r="I190" s="337"/>
      <c r="J190" s="337"/>
      <c r="K190" s="337"/>
      <c r="L190" s="337" t="s">
        <v>378</v>
      </c>
      <c r="M190" s="339"/>
      <c r="S190" s="4"/>
    </row>
    <row r="191" spans="1:19" ht="12.75" customHeight="1" x14ac:dyDescent="0.25">
      <c r="A191" s="106"/>
      <c r="B191" s="112"/>
      <c r="C191" s="107"/>
      <c r="D191" s="108"/>
      <c r="E191" s="142"/>
      <c r="F191" s="92"/>
      <c r="H191" s="341" t="s">
        <v>379</v>
      </c>
    </row>
    <row r="192" spans="1:19" ht="12.75" customHeight="1" x14ac:dyDescent="0.2">
      <c r="A192" s="33" t="s">
        <v>113</v>
      </c>
      <c r="C192" s="231">
        <v>7.4999999999999997E-2</v>
      </c>
      <c r="E192" s="241">
        <f>(C192*0.67)*(E116+(0.2*E130))</f>
        <v>21.597450000000002</v>
      </c>
      <c r="G192" s="86" t="s">
        <v>59</v>
      </c>
      <c r="H192" s="87"/>
      <c r="I192" s="87"/>
      <c r="J192" s="87"/>
      <c r="K192" s="87"/>
      <c r="L192" s="88"/>
    </row>
    <row r="193" spans="1:13" ht="12.75" customHeight="1" x14ac:dyDescent="0.2">
      <c r="A193" s="15"/>
      <c r="E193" s="6"/>
      <c r="G193" s="4"/>
      <c r="H193" s="4"/>
      <c r="I193" s="45"/>
      <c r="J193" s="45"/>
      <c r="K193" s="4"/>
      <c r="L193" s="45"/>
      <c r="M193" s="45"/>
    </row>
    <row r="194" spans="1:13" ht="12.75" customHeight="1" x14ac:dyDescent="0.2">
      <c r="A194" s="33" t="s">
        <v>85</v>
      </c>
      <c r="B194" s="4"/>
      <c r="C194" s="44"/>
      <c r="D194" s="43"/>
      <c r="E194" s="243">
        <f>E18*0.05</f>
        <v>47.025000000000006</v>
      </c>
    </row>
    <row r="195" spans="1:13" ht="12.75" customHeight="1" x14ac:dyDescent="0.2">
      <c r="A195" s="20" t="s">
        <v>231</v>
      </c>
      <c r="C195" s="16"/>
      <c r="E195" s="243">
        <f>E116+E130+E177+E180+E181+E182+E184+E189+E192</f>
        <v>728.09744999999998</v>
      </c>
    </row>
    <row r="196" spans="1:13" ht="12.75" customHeight="1" x14ac:dyDescent="0.2">
      <c r="A196" s="20" t="s">
        <v>230</v>
      </c>
      <c r="D196" s="16"/>
      <c r="E196" s="243">
        <f>E18-E195</f>
        <v>212.40255000000002</v>
      </c>
    </row>
    <row r="197" spans="1:13" ht="14.25" x14ac:dyDescent="0.2">
      <c r="A197" s="21"/>
      <c r="C197" s="54"/>
      <c r="D197" s="54"/>
      <c r="E197" s="55"/>
    </row>
    <row r="198" spans="1:13" x14ac:dyDescent="0.2">
      <c r="A198" s="33" t="s">
        <v>218</v>
      </c>
      <c r="B198" s="4"/>
      <c r="C198" s="42"/>
      <c r="D198" s="53"/>
      <c r="E198" s="252">
        <f>E195/(C14+C15)</f>
        <v>127.7363947368421</v>
      </c>
    </row>
    <row r="199" spans="1:13" x14ac:dyDescent="0.2">
      <c r="A199" s="20" t="s">
        <v>219</v>
      </c>
      <c r="B199" s="4"/>
      <c r="E199" s="243">
        <f>E195/(C16+C17)</f>
        <v>150.27811145510836</v>
      </c>
    </row>
    <row r="200" spans="1:13" x14ac:dyDescent="0.2">
      <c r="B200" s="4"/>
    </row>
    <row r="201" spans="1:13" x14ac:dyDescent="0.2">
      <c r="C201" s="355" t="s">
        <v>26</v>
      </c>
      <c r="D201" s="356"/>
      <c r="E201" s="356"/>
      <c r="F201" s="356"/>
      <c r="G201" s="357"/>
    </row>
    <row r="202" spans="1:13" x14ac:dyDescent="0.2">
      <c r="C202" s="74"/>
      <c r="D202" s="75"/>
      <c r="E202" s="75"/>
      <c r="F202" s="75"/>
      <c r="G202" s="76"/>
    </row>
    <row r="203" spans="1:13" x14ac:dyDescent="0.2">
      <c r="C203" s="355" t="s">
        <v>18</v>
      </c>
      <c r="D203" s="356"/>
      <c r="E203" s="356"/>
      <c r="F203" s="356"/>
      <c r="G203" s="357"/>
    </row>
    <row r="204" spans="1:13" x14ac:dyDescent="0.2">
      <c r="A204" s="358" t="s">
        <v>24</v>
      </c>
      <c r="B204" s="359"/>
      <c r="C204" s="23"/>
      <c r="D204" s="23"/>
      <c r="E204" s="23"/>
      <c r="F204" s="23"/>
      <c r="G204" s="23"/>
    </row>
    <row r="205" spans="1:13" x14ac:dyDescent="0.2">
      <c r="A205" s="258" t="s">
        <v>27</v>
      </c>
      <c r="B205" s="259" t="s">
        <v>302</v>
      </c>
      <c r="C205" s="355" t="s">
        <v>26</v>
      </c>
      <c r="D205" s="356"/>
      <c r="E205" s="356"/>
      <c r="F205" s="356"/>
      <c r="G205" s="357"/>
    </row>
    <row r="206" spans="1:13" x14ac:dyDescent="0.2">
      <c r="A206" s="24" t="s">
        <v>21</v>
      </c>
      <c r="B206" s="349">
        <f>C14*1.2</f>
        <v>6.84</v>
      </c>
      <c r="C206" s="347">
        <f t="shared" ref="C206:G210" si="11">((C$211*$B206)+$E$15)-$E$195</f>
        <v>174.78255000000001</v>
      </c>
      <c r="D206" s="347">
        <f t="shared" si="11"/>
        <v>287.64255000000003</v>
      </c>
      <c r="E206" s="347">
        <f t="shared" si="11"/>
        <v>400.50254999999993</v>
      </c>
      <c r="F206" s="347">
        <f t="shared" si="11"/>
        <v>513.36255000000028</v>
      </c>
      <c r="G206" s="347">
        <f t="shared" si="11"/>
        <v>626.22254999999996</v>
      </c>
    </row>
    <row r="207" spans="1:13" x14ac:dyDescent="0.2">
      <c r="A207" s="24" t="s">
        <v>20</v>
      </c>
      <c r="B207" s="349">
        <f>C14*1.1</f>
        <v>6.2700000000000005</v>
      </c>
      <c r="C207" s="347">
        <f t="shared" si="11"/>
        <v>99.542550000000119</v>
      </c>
      <c r="D207" s="347">
        <f t="shared" si="11"/>
        <v>202.99755000000005</v>
      </c>
      <c r="E207" s="347">
        <f t="shared" si="11"/>
        <v>306.4525500000002</v>
      </c>
      <c r="F207" s="347">
        <f t="shared" si="11"/>
        <v>409.90755000000036</v>
      </c>
      <c r="G207" s="347">
        <f t="shared" si="11"/>
        <v>513.36255000000006</v>
      </c>
    </row>
    <row r="208" spans="1:13" x14ac:dyDescent="0.2">
      <c r="A208" s="22"/>
      <c r="B208" s="349">
        <f>C14</f>
        <v>5.7</v>
      </c>
      <c r="C208" s="347">
        <f t="shared" si="11"/>
        <v>24.302549999999997</v>
      </c>
      <c r="D208" s="347">
        <f t="shared" si="11"/>
        <v>118.35255000000006</v>
      </c>
      <c r="E208" s="348">
        <f t="shared" si="11"/>
        <v>212.40255000000002</v>
      </c>
      <c r="F208" s="347">
        <f t="shared" si="11"/>
        <v>306.4525500000002</v>
      </c>
      <c r="G208" s="347">
        <f t="shared" si="11"/>
        <v>400.50255000000016</v>
      </c>
    </row>
    <row r="209" spans="1:7" x14ac:dyDescent="0.2">
      <c r="A209" s="24" t="s">
        <v>22</v>
      </c>
      <c r="B209" s="349">
        <f>C14*0.9</f>
        <v>5.13</v>
      </c>
      <c r="C209" s="347">
        <f t="shared" si="11"/>
        <v>-50.937450000000013</v>
      </c>
      <c r="D209" s="347">
        <f t="shared" si="11"/>
        <v>33.707549999999969</v>
      </c>
      <c r="E209" s="347">
        <f t="shared" si="11"/>
        <v>118.35254999999995</v>
      </c>
      <c r="F209" s="347">
        <f t="shared" si="11"/>
        <v>202.99755000000016</v>
      </c>
      <c r="G209" s="347">
        <f t="shared" si="11"/>
        <v>287.64255000000003</v>
      </c>
    </row>
    <row r="210" spans="1:7" x14ac:dyDescent="0.2">
      <c r="A210" s="24" t="s">
        <v>23</v>
      </c>
      <c r="B210" s="349">
        <f>C14*0.8</f>
        <v>4.5600000000000005</v>
      </c>
      <c r="C210" s="347">
        <f t="shared" si="11"/>
        <v>-126.17744999999991</v>
      </c>
      <c r="D210" s="347">
        <f t="shared" si="11"/>
        <v>-50.937449999999899</v>
      </c>
      <c r="E210" s="347">
        <f t="shared" si="11"/>
        <v>24.30255000000011</v>
      </c>
      <c r="F210" s="347">
        <f t="shared" si="11"/>
        <v>99.542550000000233</v>
      </c>
      <c r="G210" s="347">
        <f t="shared" si="11"/>
        <v>174.78255000000013</v>
      </c>
    </row>
    <row r="211" spans="1:7" x14ac:dyDescent="0.2">
      <c r="A211" s="257" t="s">
        <v>414</v>
      </c>
      <c r="B211" s="253"/>
      <c r="C211" s="254">
        <f>D14*0.8</f>
        <v>132</v>
      </c>
      <c r="D211" s="254">
        <f>D14*0.9</f>
        <v>148.5</v>
      </c>
      <c r="E211" s="254">
        <f>D14</f>
        <v>165</v>
      </c>
      <c r="F211" s="254">
        <f>D14*1.1</f>
        <v>181.50000000000003</v>
      </c>
      <c r="G211" s="254">
        <f>D14*1.2</f>
        <v>198</v>
      </c>
    </row>
    <row r="212" spans="1:7" x14ac:dyDescent="0.2">
      <c r="A212" s="257" t="s">
        <v>19</v>
      </c>
      <c r="B212" s="253"/>
      <c r="C212" s="255" t="s">
        <v>23</v>
      </c>
      <c r="D212" s="255" t="s">
        <v>22</v>
      </c>
      <c r="E212" s="256"/>
      <c r="F212" s="255" t="s">
        <v>20</v>
      </c>
      <c r="G212" s="255" t="s">
        <v>21</v>
      </c>
    </row>
  </sheetData>
  <sheetProtection algorithmName="SHA-512" hashValue="owKxE4rIY6YE3ym1NAG0cF/UoY/KiAS7dWiZR0KoXTAr/BJEapTwTuPBRo4Y2O7YGEYWGnLj/S0yy0h4W4pLXw==" saltValue="2CyLm5GQtlB1u2DnN+6eHQ==" spinCount="100000" sheet="1" objects="1" scenarios="1"/>
  <mergeCells count="4">
    <mergeCell ref="C201:G201"/>
    <mergeCell ref="C203:G203"/>
    <mergeCell ref="A204:B204"/>
    <mergeCell ref="C205:G205"/>
  </mergeCells>
  <hyperlinks>
    <hyperlink ref="I135" r:id="rId1" xr:uid="{00000000-0004-0000-0A00-000000000000}"/>
    <hyperlink ref="I142" r:id="rId2" xr:uid="{00000000-0004-0000-0A00-000001000000}"/>
    <hyperlink ref="I136" r:id="rId3" xr:uid="{00000000-0004-0000-0A00-000002000000}"/>
    <hyperlink ref="I139" r:id="rId4" xr:uid="{00000000-0004-0000-0A00-000003000000}"/>
  </hyperlinks>
  <pageMargins left="0.7" right="0.7" top="0.75" bottom="0.75" header="0.3" footer="0.3"/>
  <pageSetup scale="40" fitToHeight="0" orientation="portrait" verticalDpi="0"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S212"/>
  <sheetViews>
    <sheetView zoomScale="93" zoomScaleNormal="93" workbookViewId="0">
      <selection activeCell="E14" sqref="E14"/>
    </sheetView>
  </sheetViews>
  <sheetFormatPr defaultColWidth="8.42578125" defaultRowHeight="12.75" x14ac:dyDescent="0.2"/>
  <cols>
    <col min="1" max="1" width="26.7109375" customWidth="1"/>
    <col min="2" max="2" width="17.85546875" customWidth="1"/>
    <col min="3" max="3" width="17.42578125" customWidth="1"/>
    <col min="4" max="4" width="15.140625" customWidth="1"/>
    <col min="5" max="5" width="11.28515625" customWidth="1"/>
    <col min="6" max="6" width="10.7109375" customWidth="1"/>
    <col min="7" max="7" width="13.42578125" customWidth="1"/>
    <col min="8" max="9" width="7.42578125" customWidth="1"/>
    <col min="10" max="10" width="8.42578125" customWidth="1"/>
    <col min="11" max="11" width="8" customWidth="1"/>
    <col min="12" max="12" width="13.7109375" customWidth="1"/>
  </cols>
  <sheetData>
    <row r="1" spans="1:14" ht="15.75" customHeight="1" x14ac:dyDescent="0.2">
      <c r="A1" s="20" t="s">
        <v>29</v>
      </c>
      <c r="E1" s="36"/>
    </row>
    <row r="2" spans="1:14" ht="8.25" customHeight="1" x14ac:dyDescent="0.2"/>
    <row r="3" spans="1:14" ht="15" customHeight="1" x14ac:dyDescent="0.2"/>
    <row r="4" spans="1:14" ht="8.25" customHeight="1" x14ac:dyDescent="0.2"/>
    <row r="5" spans="1:14" ht="18.75" customHeight="1" x14ac:dyDescent="0.25">
      <c r="A5" s="2" t="s">
        <v>342</v>
      </c>
      <c r="D5" s="19"/>
      <c r="E5" s="197"/>
    </row>
    <row r="6" spans="1:14" ht="5.25" customHeight="1" x14ac:dyDescent="0.2"/>
    <row r="7" spans="1:14" x14ac:dyDescent="0.2">
      <c r="A7" s="17" t="s">
        <v>83</v>
      </c>
      <c r="E7" s="67"/>
      <c r="I7" s="38"/>
    </row>
    <row r="8" spans="1:14" x14ac:dyDescent="0.2">
      <c r="A8" s="17" t="s">
        <v>228</v>
      </c>
      <c r="E8" s="242"/>
    </row>
    <row r="9" spans="1:14" x14ac:dyDescent="0.2">
      <c r="A9" s="17" t="s">
        <v>71</v>
      </c>
      <c r="E9" s="79"/>
    </row>
    <row r="10" spans="1:14" x14ac:dyDescent="0.2">
      <c r="A10" s="17"/>
      <c r="E10" s="3"/>
    </row>
    <row r="11" spans="1:14" ht="18" x14ac:dyDescent="0.25">
      <c r="A11" s="2" t="s">
        <v>343</v>
      </c>
      <c r="B11" s="345" t="s">
        <v>424</v>
      </c>
      <c r="C11" s="329"/>
    </row>
    <row r="12" spans="1:14" x14ac:dyDescent="0.2">
      <c r="A12" s="119" t="s">
        <v>37</v>
      </c>
      <c r="B12" s="117"/>
      <c r="C12" s="118"/>
      <c r="D12" s="117"/>
      <c r="E12" s="117"/>
      <c r="F12" s="92"/>
    </row>
    <row r="13" spans="1:14" x14ac:dyDescent="0.2">
      <c r="A13" s="17"/>
      <c r="B13" s="7" t="s">
        <v>306</v>
      </c>
      <c r="C13" s="54" t="s">
        <v>307</v>
      </c>
      <c r="D13" s="7" t="s">
        <v>239</v>
      </c>
      <c r="E13" s="7" t="s">
        <v>236</v>
      </c>
      <c r="H13" s="17" t="s">
        <v>170</v>
      </c>
      <c r="I13" s="17"/>
      <c r="J13" s="17"/>
      <c r="K13" s="17"/>
    </row>
    <row r="14" spans="1:14" x14ac:dyDescent="0.2">
      <c r="A14" s="20" t="s">
        <v>216</v>
      </c>
      <c r="B14" s="275">
        <v>0.6</v>
      </c>
      <c r="C14" s="167">
        <v>12</v>
      </c>
      <c r="D14" s="124">
        <v>75</v>
      </c>
      <c r="E14" s="241">
        <f>C14*D14</f>
        <v>900</v>
      </c>
      <c r="H14" s="20" t="s">
        <v>186</v>
      </c>
      <c r="L14" s="124">
        <v>165</v>
      </c>
      <c r="N14" s="20" t="s">
        <v>187</v>
      </c>
    </row>
    <row r="15" spans="1:14" x14ac:dyDescent="0.2">
      <c r="A15" s="20" t="s">
        <v>217</v>
      </c>
      <c r="B15" s="275">
        <v>0</v>
      </c>
      <c r="C15" s="167">
        <v>0</v>
      </c>
      <c r="D15" s="124">
        <v>0</v>
      </c>
      <c r="E15" s="241">
        <f>C15*D15</f>
        <v>0</v>
      </c>
      <c r="H15" s="20" t="s">
        <v>184</v>
      </c>
      <c r="L15" s="330">
        <v>0.5</v>
      </c>
    </row>
    <row r="16" spans="1:14" x14ac:dyDescent="0.2">
      <c r="A16" s="20" t="s">
        <v>214</v>
      </c>
      <c r="C16" s="299">
        <f>C14*(1-B14)</f>
        <v>4.8000000000000007</v>
      </c>
      <c r="E16" s="232"/>
      <c r="H16" s="20" t="s">
        <v>185</v>
      </c>
      <c r="L16" s="241">
        <f>(L14/0.87)*(1-L15)</f>
        <v>94.827586206896555</v>
      </c>
    </row>
    <row r="17" spans="1:18" x14ac:dyDescent="0.2">
      <c r="A17" s="20" t="s">
        <v>215</v>
      </c>
      <c r="C17" s="299">
        <f>C15*(1-B15)</f>
        <v>0</v>
      </c>
      <c r="E17" s="232"/>
      <c r="H17" s="20"/>
      <c r="L17" s="233"/>
    </row>
    <row r="18" spans="1:18" x14ac:dyDescent="0.2">
      <c r="A18" s="152" t="s">
        <v>199</v>
      </c>
      <c r="B18" s="159"/>
      <c r="C18" s="157"/>
      <c r="D18" s="159"/>
      <c r="E18" s="243">
        <f>SUM(E14:E15)</f>
        <v>900</v>
      </c>
    </row>
    <row r="19" spans="1:18" x14ac:dyDescent="0.2">
      <c r="A19" s="119" t="s">
        <v>40</v>
      </c>
      <c r="B19" s="120"/>
      <c r="C19" s="121"/>
      <c r="D19" s="120"/>
      <c r="E19" s="120"/>
      <c r="F19" s="122"/>
    </row>
    <row r="20" spans="1:18" ht="12" customHeight="1" x14ac:dyDescent="0.2">
      <c r="A20" s="17"/>
      <c r="B20" s="4"/>
      <c r="C20" s="3"/>
      <c r="D20" s="4"/>
      <c r="E20" s="4"/>
    </row>
    <row r="21" spans="1:18" x14ac:dyDescent="0.2">
      <c r="A21" s="111" t="s">
        <v>4</v>
      </c>
      <c r="B21" s="92"/>
      <c r="C21" s="112"/>
      <c r="D21" s="112"/>
      <c r="E21" s="112"/>
      <c r="F21" s="92"/>
    </row>
    <row r="22" spans="1:18" ht="15" customHeight="1" x14ac:dyDescent="0.2">
      <c r="A22" s="98" t="s">
        <v>88</v>
      </c>
      <c r="B22" s="99"/>
      <c r="C22" s="100"/>
      <c r="D22" s="100"/>
      <c r="E22" s="100"/>
      <c r="F22" s="97"/>
      <c r="H22" s="17"/>
      <c r="J22" s="17"/>
      <c r="M22" s="20"/>
    </row>
    <row r="23" spans="1:18" x14ac:dyDescent="0.2">
      <c r="A23" s="33"/>
      <c r="B23" s="7" t="s">
        <v>237</v>
      </c>
      <c r="C23" s="7" t="s">
        <v>238</v>
      </c>
      <c r="D23" s="7" t="s">
        <v>239</v>
      </c>
      <c r="E23" s="7" t="s">
        <v>240</v>
      </c>
      <c r="G23" s="65"/>
      <c r="H23" s="17"/>
      <c r="J23" s="17"/>
      <c r="K23" s="17"/>
      <c r="M23" s="20"/>
    </row>
    <row r="24" spans="1:18" x14ac:dyDescent="0.2">
      <c r="A24" s="39" t="s">
        <v>303</v>
      </c>
      <c r="B24" s="207"/>
      <c r="C24" s="78">
        <v>0</v>
      </c>
      <c r="D24" s="90">
        <v>0</v>
      </c>
      <c r="E24" s="244">
        <f>((D24/2000)*B24*C24)</f>
        <v>0</v>
      </c>
      <c r="G24" s="48"/>
      <c r="H24" s="6"/>
      <c r="I24" s="48"/>
      <c r="J24" s="6"/>
      <c r="O24" s="20"/>
      <c r="P24" s="20"/>
      <c r="Q24" s="20"/>
      <c r="R24" s="20"/>
    </row>
    <row r="25" spans="1:18" x14ac:dyDescent="0.2">
      <c r="A25" s="39"/>
      <c r="B25" s="40"/>
      <c r="C25" s="47"/>
      <c r="D25" s="10"/>
      <c r="E25" s="46"/>
      <c r="G25" s="48"/>
      <c r="H25" s="6"/>
      <c r="I25" s="48"/>
      <c r="J25" s="6"/>
      <c r="O25" s="20"/>
      <c r="P25" s="20"/>
      <c r="Q25" s="20"/>
      <c r="R25" s="20"/>
    </row>
    <row r="26" spans="1:18" x14ac:dyDescent="0.2">
      <c r="A26" s="33"/>
      <c r="C26" s="7" t="s">
        <v>87</v>
      </c>
      <c r="D26" s="7" t="s">
        <v>239</v>
      </c>
      <c r="E26" s="7" t="s">
        <v>240</v>
      </c>
      <c r="G26" s="65"/>
      <c r="H26" s="17"/>
      <c r="J26" s="17"/>
      <c r="K26" s="17"/>
      <c r="M26" s="20"/>
    </row>
    <row r="27" spans="1:18" x14ac:dyDescent="0.2">
      <c r="A27" s="208" t="s">
        <v>171</v>
      </c>
      <c r="B27" s="4"/>
      <c r="C27" s="68">
        <v>100</v>
      </c>
      <c r="D27" s="90">
        <v>520</v>
      </c>
      <c r="E27" s="245">
        <f>C27*(D27/2000)</f>
        <v>26</v>
      </c>
      <c r="G27" s="5"/>
      <c r="H27" s="1"/>
      <c r="J27" s="56"/>
    </row>
    <row r="28" spans="1:18" x14ac:dyDescent="0.2">
      <c r="A28" s="208" t="s">
        <v>66</v>
      </c>
      <c r="B28" s="4"/>
      <c r="C28" s="77"/>
      <c r="D28" s="90">
        <v>0</v>
      </c>
      <c r="E28" s="246">
        <f>C28*(D28/2000)</f>
        <v>0</v>
      </c>
      <c r="G28" s="5"/>
      <c r="H28" s="1"/>
      <c r="J28" s="56"/>
    </row>
    <row r="29" spans="1:18" x14ac:dyDescent="0.2">
      <c r="A29" s="209" t="s">
        <v>66</v>
      </c>
      <c r="B29" s="4"/>
      <c r="C29" s="77"/>
      <c r="D29" s="193"/>
      <c r="E29" s="246">
        <f>C29*(D29/2000)</f>
        <v>0</v>
      </c>
      <c r="G29" s="5"/>
      <c r="H29" s="1"/>
      <c r="J29" s="56"/>
    </row>
    <row r="30" spans="1:18" x14ac:dyDescent="0.2">
      <c r="A30" s="208"/>
      <c r="B30" s="4"/>
      <c r="C30" s="68"/>
      <c r="D30" s="90"/>
      <c r="E30" s="245">
        <f>C30*(D30/2000)</f>
        <v>0</v>
      </c>
      <c r="G30" s="5"/>
      <c r="H30" s="1"/>
      <c r="J30" s="56"/>
    </row>
    <row r="31" spans="1:18" x14ac:dyDescent="0.2">
      <c r="A31" s="94"/>
      <c r="B31" s="4"/>
      <c r="C31" s="42"/>
      <c r="D31" s="93"/>
      <c r="E31" s="93"/>
      <c r="G31" s="5"/>
      <c r="H31" s="1"/>
      <c r="J31" s="56"/>
    </row>
    <row r="32" spans="1:18" ht="14.25" customHeight="1" x14ac:dyDescent="0.2">
      <c r="A32" s="95" t="s">
        <v>135</v>
      </c>
      <c r="B32" s="96"/>
      <c r="C32" s="160"/>
      <c r="D32" s="161"/>
      <c r="E32" s="161"/>
      <c r="F32" s="97"/>
    </row>
    <row r="33" spans="1:12" ht="14.25" customHeight="1" x14ac:dyDescent="0.2">
      <c r="A33" s="48" t="s">
        <v>304</v>
      </c>
      <c r="C33" s="219" t="s">
        <v>68</v>
      </c>
      <c r="D33" s="7" t="s">
        <v>69</v>
      </c>
      <c r="E33" s="7" t="s">
        <v>240</v>
      </c>
    </row>
    <row r="34" spans="1:12" ht="14.25" customHeight="1" x14ac:dyDescent="0.2">
      <c r="A34" s="201" t="s">
        <v>14</v>
      </c>
      <c r="B34" s="40"/>
      <c r="C34" s="68">
        <v>160</v>
      </c>
      <c r="D34" s="90">
        <v>0.6</v>
      </c>
      <c r="E34" s="245">
        <f>C34*D34</f>
        <v>96</v>
      </c>
    </row>
    <row r="35" spans="1:12" ht="14.25" customHeight="1" x14ac:dyDescent="0.2">
      <c r="A35" s="220" t="s">
        <v>15</v>
      </c>
      <c r="B35" s="4"/>
      <c r="C35" s="68"/>
      <c r="D35" s="90"/>
      <c r="E35" s="245">
        <f t="shared" ref="E35:E37" si="0">C35*D35</f>
        <v>0</v>
      </c>
    </row>
    <row r="36" spans="1:12" ht="13.5" customHeight="1" x14ac:dyDescent="0.2">
      <c r="A36" s="220" t="s">
        <v>16</v>
      </c>
      <c r="B36" s="4"/>
      <c r="C36" s="68"/>
      <c r="D36" s="90"/>
      <c r="E36" s="245">
        <f t="shared" si="0"/>
        <v>0</v>
      </c>
      <c r="G36" s="72"/>
      <c r="H36" s="16"/>
      <c r="I36" s="16"/>
      <c r="J36" s="7"/>
      <c r="K36" s="17"/>
      <c r="L36" s="17"/>
    </row>
    <row r="37" spans="1:12" ht="14.25" customHeight="1" x14ac:dyDescent="0.2">
      <c r="A37" s="221" t="s">
        <v>17</v>
      </c>
      <c r="B37" s="4"/>
      <c r="C37" s="68"/>
      <c r="D37" s="90"/>
      <c r="E37" s="246">
        <f t="shared" si="0"/>
        <v>0</v>
      </c>
      <c r="G37" s="5"/>
      <c r="H37" s="6"/>
      <c r="I37" s="6"/>
      <c r="J37" s="6"/>
      <c r="K37" s="6"/>
    </row>
    <row r="38" spans="1:12" ht="14.25" customHeight="1" x14ac:dyDescent="0.2">
      <c r="A38" s="199" t="s">
        <v>86</v>
      </c>
      <c r="B38" s="4"/>
      <c r="C38" s="42"/>
      <c r="D38" s="93"/>
      <c r="E38" s="210">
        <v>0</v>
      </c>
      <c r="G38" s="5"/>
      <c r="H38" s="6"/>
      <c r="I38" s="6"/>
      <c r="J38" s="6"/>
      <c r="K38" s="6"/>
    </row>
    <row r="39" spans="1:12" ht="14.25" customHeight="1" x14ac:dyDescent="0.2">
      <c r="A39" s="82" t="s">
        <v>136</v>
      </c>
      <c r="B39" s="81"/>
      <c r="C39" s="42"/>
      <c r="D39" s="93"/>
      <c r="E39" s="90">
        <v>0</v>
      </c>
      <c r="G39" s="5"/>
      <c r="H39" s="6"/>
      <c r="I39" s="6"/>
      <c r="J39" s="6"/>
      <c r="K39" s="6"/>
    </row>
    <row r="40" spans="1:12" ht="14.25" x14ac:dyDescent="0.25">
      <c r="A40" s="32"/>
      <c r="B40" s="4"/>
      <c r="C40" s="7" t="s">
        <v>193</v>
      </c>
      <c r="D40" s="223" t="s">
        <v>265</v>
      </c>
      <c r="E40" s="46"/>
      <c r="G40" s="65"/>
      <c r="I40" s="6"/>
    </row>
    <row r="41" spans="1:12" x14ac:dyDescent="0.2">
      <c r="A41" s="94" t="s">
        <v>192</v>
      </c>
      <c r="C41" s="68">
        <v>40</v>
      </c>
      <c r="D41" s="210">
        <v>0.81</v>
      </c>
      <c r="E41" s="247">
        <f t="shared" ref="E41" si="1">C41*D41</f>
        <v>32.400000000000006</v>
      </c>
      <c r="G41" s="48"/>
      <c r="H41" s="6"/>
    </row>
    <row r="42" spans="1:12" ht="14.25" customHeight="1" x14ac:dyDescent="0.25">
      <c r="A42" s="39"/>
      <c r="B42" s="4"/>
      <c r="C42" s="7" t="s">
        <v>194</v>
      </c>
      <c r="D42" s="223" t="s">
        <v>264</v>
      </c>
      <c r="E42" s="46"/>
      <c r="G42" s="5"/>
      <c r="H42" s="6"/>
      <c r="K42" s="17"/>
    </row>
    <row r="43" spans="1:12" ht="14.25" customHeight="1" x14ac:dyDescent="0.2">
      <c r="A43" s="222" t="s">
        <v>13</v>
      </c>
      <c r="C43" s="68">
        <v>200</v>
      </c>
      <c r="D43" s="90">
        <v>0.43</v>
      </c>
      <c r="E43" s="245">
        <f>C43*D43</f>
        <v>86</v>
      </c>
      <c r="G43" s="72"/>
      <c r="H43" s="16"/>
      <c r="I43" s="73"/>
      <c r="J43" s="73"/>
      <c r="K43" s="7"/>
      <c r="L43" s="7"/>
    </row>
    <row r="44" spans="1:12" ht="14.25" customHeight="1" x14ac:dyDescent="0.2">
      <c r="C44" s="12"/>
      <c r="G44" s="5"/>
      <c r="H44" s="1"/>
      <c r="I44" s="1"/>
      <c r="J44" s="1"/>
      <c r="K44" s="1"/>
      <c r="L44" s="1"/>
    </row>
    <row r="45" spans="1:12" ht="14.25" customHeight="1" x14ac:dyDescent="0.2">
      <c r="A45" s="199" t="s">
        <v>133</v>
      </c>
      <c r="B45" s="4"/>
      <c r="C45" s="9"/>
      <c r="D45" s="10"/>
      <c r="E45" s="90">
        <v>0</v>
      </c>
      <c r="G45" s="5"/>
      <c r="H45" s="6"/>
      <c r="I45" s="6"/>
      <c r="J45" s="6"/>
      <c r="K45" s="6"/>
      <c r="L45" s="6"/>
    </row>
    <row r="46" spans="1:12" ht="14.25" customHeight="1" x14ac:dyDescent="0.2">
      <c r="A46" s="166"/>
      <c r="B46" s="4"/>
      <c r="C46" s="9"/>
      <c r="D46" s="10"/>
      <c r="E46" s="102"/>
      <c r="G46" s="5"/>
      <c r="H46" s="6"/>
      <c r="I46" s="6"/>
      <c r="J46" s="6"/>
      <c r="K46" s="6"/>
      <c r="L46" s="6"/>
    </row>
    <row r="47" spans="1:12" ht="14.25" customHeight="1" x14ac:dyDescent="0.2">
      <c r="A47" s="199" t="s">
        <v>7</v>
      </c>
      <c r="B47" s="4"/>
      <c r="C47" s="9"/>
      <c r="D47" s="10"/>
      <c r="E47" s="90">
        <v>0</v>
      </c>
      <c r="G47" s="5"/>
      <c r="H47" s="6"/>
      <c r="I47" s="6"/>
      <c r="J47" s="6"/>
      <c r="K47" s="6"/>
      <c r="L47" s="6"/>
    </row>
    <row r="48" spans="1:12" ht="14.25" customHeight="1" x14ac:dyDescent="0.2">
      <c r="A48" s="199"/>
      <c r="B48" s="4"/>
      <c r="C48" s="9"/>
      <c r="D48" s="10"/>
      <c r="E48" s="90">
        <v>0</v>
      </c>
      <c r="G48" s="5"/>
      <c r="H48" s="6"/>
      <c r="I48" s="6"/>
      <c r="J48" s="6"/>
      <c r="K48" s="6"/>
      <c r="L48" s="6"/>
    </row>
    <row r="49" spans="1:12" ht="14.25" customHeight="1" x14ac:dyDescent="0.2">
      <c r="A49" s="199"/>
      <c r="B49" s="4"/>
      <c r="C49" s="9"/>
      <c r="D49" s="10"/>
      <c r="E49" s="90">
        <v>0</v>
      </c>
      <c r="G49" s="5"/>
      <c r="H49" s="6"/>
      <c r="I49" s="6"/>
      <c r="J49" s="6"/>
      <c r="K49" s="6"/>
      <c r="L49" s="6"/>
    </row>
    <row r="50" spans="1:12" ht="14.25" customHeight="1" x14ac:dyDescent="0.2">
      <c r="A50" s="33" t="s">
        <v>247</v>
      </c>
      <c r="B50" s="101"/>
      <c r="C50" s="219" t="s">
        <v>72</v>
      </c>
      <c r="D50" s="54" t="s">
        <v>255</v>
      </c>
      <c r="E50" s="10"/>
      <c r="G50" s="5"/>
      <c r="H50" s="6"/>
      <c r="I50" s="6"/>
      <c r="J50" s="6"/>
      <c r="K50" s="6"/>
      <c r="L50" s="6"/>
    </row>
    <row r="51" spans="1:12" ht="14.25" customHeight="1" x14ac:dyDescent="0.2">
      <c r="A51" s="199" t="s">
        <v>89</v>
      </c>
      <c r="B51" s="4"/>
      <c r="C51" s="68">
        <v>3</v>
      </c>
      <c r="D51" s="90">
        <v>9</v>
      </c>
      <c r="E51" s="245">
        <f>D51*C51</f>
        <v>27</v>
      </c>
      <c r="G51" s="5"/>
      <c r="H51" s="6"/>
      <c r="I51" s="6"/>
      <c r="J51" s="6"/>
      <c r="K51" s="6"/>
      <c r="L51" s="6"/>
    </row>
    <row r="52" spans="1:12" ht="14.25" customHeight="1" x14ac:dyDescent="0.2">
      <c r="A52" s="199"/>
      <c r="B52" s="4"/>
      <c r="C52" s="68"/>
      <c r="D52" s="90"/>
      <c r="E52" s="245">
        <f t="shared" ref="E52:E53" si="2">D52*C52</f>
        <v>0</v>
      </c>
      <c r="G52" s="5"/>
      <c r="H52" s="6"/>
      <c r="I52" s="6"/>
      <c r="J52" s="6"/>
      <c r="K52" s="6"/>
      <c r="L52" s="6"/>
    </row>
    <row r="53" spans="1:12" ht="14.25" customHeight="1" x14ac:dyDescent="0.2">
      <c r="A53" s="199"/>
      <c r="B53" s="4"/>
      <c r="C53" s="68"/>
      <c r="D53" s="90"/>
      <c r="E53" s="245">
        <f t="shared" si="2"/>
        <v>0</v>
      </c>
      <c r="G53" s="5"/>
      <c r="H53" s="6"/>
      <c r="I53" s="6"/>
      <c r="J53" s="6"/>
      <c r="K53" s="6"/>
      <c r="L53" s="6"/>
    </row>
    <row r="54" spans="1:12" ht="14.25" customHeight="1" x14ac:dyDescent="0.2">
      <c r="A54" s="33"/>
      <c r="B54" s="4"/>
      <c r="C54" s="9"/>
      <c r="D54" s="10"/>
      <c r="E54" s="10"/>
      <c r="G54" s="5"/>
      <c r="H54" s="6"/>
      <c r="I54" s="6"/>
      <c r="J54" s="6"/>
      <c r="K54" s="6"/>
      <c r="L54" s="6"/>
    </row>
    <row r="55" spans="1:12" x14ac:dyDescent="0.2">
      <c r="B55" s="7" t="s">
        <v>262</v>
      </c>
      <c r="C55" s="7" t="s">
        <v>263</v>
      </c>
      <c r="D55" s="54" t="s">
        <v>239</v>
      </c>
      <c r="E55" s="7" t="s">
        <v>240</v>
      </c>
    </row>
    <row r="56" spans="1:12" x14ac:dyDescent="0.2">
      <c r="A56" s="4" t="s">
        <v>80</v>
      </c>
      <c r="B56" s="211">
        <v>3</v>
      </c>
      <c r="C56" s="69">
        <v>0</v>
      </c>
      <c r="D56" s="124">
        <v>29</v>
      </c>
      <c r="E56" s="245">
        <f>(D56*C56)/B56</f>
        <v>0</v>
      </c>
      <c r="H56" s="80"/>
    </row>
    <row r="57" spans="1:12" x14ac:dyDescent="0.2">
      <c r="A57" s="15"/>
      <c r="B57" s="40"/>
      <c r="C57" s="125"/>
      <c r="D57" s="224" t="s">
        <v>240</v>
      </c>
      <c r="E57" s="102"/>
      <c r="H57" s="80"/>
    </row>
    <row r="58" spans="1:12" x14ac:dyDescent="0.2">
      <c r="A58" s="33" t="s">
        <v>98</v>
      </c>
      <c r="B58" s="4"/>
      <c r="C58" s="123"/>
      <c r="D58" s="124">
        <v>34.5</v>
      </c>
      <c r="E58" s="245">
        <f>D58/B56</f>
        <v>11.5</v>
      </c>
      <c r="H58" s="80"/>
    </row>
    <row r="59" spans="1:12" x14ac:dyDescent="0.2">
      <c r="A59" s="15"/>
      <c r="B59" s="84"/>
      <c r="C59" s="20"/>
      <c r="D59" s="1"/>
      <c r="E59" s="6"/>
      <c r="H59" s="80"/>
    </row>
    <row r="60" spans="1:12" x14ac:dyDescent="0.2">
      <c r="A60" s="152" t="s">
        <v>197</v>
      </c>
      <c r="B60" s="159"/>
      <c r="C60" s="159"/>
      <c r="D60" s="159"/>
      <c r="E60" s="243">
        <f>SUM(E24:E59)</f>
        <v>278.89999999999998</v>
      </c>
      <c r="G60" s="33"/>
      <c r="H60" s="33"/>
    </row>
    <row r="61" spans="1:12" x14ac:dyDescent="0.2">
      <c r="A61" s="111" t="s">
        <v>94</v>
      </c>
      <c r="B61" s="92"/>
      <c r="C61" s="92"/>
      <c r="D61" s="92"/>
      <c r="E61" s="92"/>
      <c r="F61" s="92"/>
      <c r="G61" s="33"/>
      <c r="H61" s="33"/>
    </row>
    <row r="62" spans="1:12" x14ac:dyDescent="0.2">
      <c r="A62" s="20"/>
      <c r="B62" s="1"/>
      <c r="G62" s="33"/>
      <c r="H62" s="33"/>
    </row>
    <row r="63" spans="1:12" x14ac:dyDescent="0.2">
      <c r="A63" s="18"/>
      <c r="B63" s="4"/>
      <c r="C63" s="54" t="s">
        <v>313</v>
      </c>
      <c r="D63" s="54" t="s">
        <v>314</v>
      </c>
      <c r="E63" s="7" t="s">
        <v>240</v>
      </c>
      <c r="G63" s="33"/>
      <c r="H63" s="33"/>
    </row>
    <row r="64" spans="1:12" x14ac:dyDescent="0.2">
      <c r="A64" s="199" t="s">
        <v>344</v>
      </c>
      <c r="B64" s="40"/>
      <c r="C64" s="68">
        <v>25</v>
      </c>
      <c r="D64" s="169">
        <v>80</v>
      </c>
      <c r="E64" s="245">
        <f>((C64/50)*D64)</f>
        <v>40</v>
      </c>
      <c r="G64" s="33"/>
      <c r="H64" s="33"/>
    </row>
    <row r="65" spans="1:8" x14ac:dyDescent="0.2">
      <c r="A65" s="199"/>
      <c r="B65" s="40"/>
      <c r="C65" s="68"/>
      <c r="D65" s="169"/>
      <c r="E65" s="245">
        <f>((C65/50)*D65)</f>
        <v>0</v>
      </c>
      <c r="G65" s="33"/>
      <c r="H65" s="33"/>
    </row>
    <row r="66" spans="1:8" x14ac:dyDescent="0.2">
      <c r="A66" s="199"/>
      <c r="B66" s="40"/>
      <c r="C66" s="68"/>
      <c r="D66" s="169"/>
      <c r="E66" s="245">
        <f>((C66/50)*D66)</f>
        <v>0</v>
      </c>
      <c r="G66" s="33"/>
      <c r="H66" s="33"/>
    </row>
    <row r="67" spans="1:8" x14ac:dyDescent="0.2">
      <c r="A67" s="60"/>
      <c r="B67" s="40"/>
      <c r="C67" s="68"/>
      <c r="D67" s="169"/>
      <c r="E67" s="245">
        <f>((C67/50)*D67)</f>
        <v>0</v>
      </c>
      <c r="G67" s="33"/>
      <c r="H67" s="33"/>
    </row>
    <row r="68" spans="1:8" x14ac:dyDescent="0.2">
      <c r="A68" s="5"/>
      <c r="B68" s="5"/>
      <c r="C68" s="7" t="s">
        <v>298</v>
      </c>
      <c r="D68" s="54" t="s">
        <v>235</v>
      </c>
      <c r="E68" s="7" t="s">
        <v>240</v>
      </c>
    </row>
    <row r="69" spans="1:8" x14ac:dyDescent="0.2">
      <c r="A69" s="48" t="s">
        <v>173</v>
      </c>
      <c r="B69" s="48"/>
      <c r="C69" s="77">
        <v>0</v>
      </c>
      <c r="D69" s="170"/>
      <c r="E69" s="248">
        <f>D69*C69</f>
        <v>0</v>
      </c>
    </row>
    <row r="70" spans="1:8" x14ac:dyDescent="0.2">
      <c r="A70" s="48" t="s">
        <v>81</v>
      </c>
      <c r="B70" s="48"/>
      <c r="C70" s="68"/>
      <c r="D70" s="169"/>
      <c r="E70" s="324">
        <f>D70*C70</f>
        <v>0</v>
      </c>
    </row>
    <row r="71" spans="1:8" x14ac:dyDescent="0.2">
      <c r="A71" s="48"/>
      <c r="B71" s="48"/>
      <c r="C71" s="225" t="s">
        <v>260</v>
      </c>
      <c r="D71" s="234" t="s">
        <v>261</v>
      </c>
      <c r="E71" s="227" t="s">
        <v>240</v>
      </c>
    </row>
    <row r="72" spans="1:8" x14ac:dyDescent="0.2">
      <c r="A72" s="48" t="s">
        <v>81</v>
      </c>
      <c r="B72" s="48"/>
      <c r="C72" s="68"/>
      <c r="D72" s="169"/>
      <c r="E72" s="324">
        <f>D72*C72</f>
        <v>0</v>
      </c>
    </row>
    <row r="73" spans="1:8" x14ac:dyDescent="0.2">
      <c r="A73" s="146" t="s">
        <v>196</v>
      </c>
      <c r="B73" s="153"/>
      <c r="C73" s="158"/>
      <c r="D73" s="157"/>
      <c r="E73" s="249">
        <f>E64+E69+E70+E72</f>
        <v>40</v>
      </c>
    </row>
    <row r="74" spans="1:8" x14ac:dyDescent="0.2">
      <c r="A74" s="110" t="s">
        <v>92</v>
      </c>
      <c r="B74" s="106"/>
      <c r="C74" s="107"/>
      <c r="D74" s="108"/>
      <c r="E74" s="145"/>
      <c r="F74" s="92"/>
    </row>
    <row r="75" spans="1:8" x14ac:dyDescent="0.2">
      <c r="A75" s="65" t="s">
        <v>2</v>
      </c>
      <c r="B75" s="4"/>
      <c r="C75" s="162"/>
      <c r="D75" s="83"/>
      <c r="E75" s="8" t="s">
        <v>67</v>
      </c>
      <c r="G75" s="31"/>
      <c r="H75" s="31"/>
    </row>
    <row r="76" spans="1:8" x14ac:dyDescent="0.2">
      <c r="A76" s="33" t="s">
        <v>126</v>
      </c>
      <c r="B76" s="4"/>
      <c r="C76" s="162"/>
      <c r="D76" s="83"/>
      <c r="E76" s="217">
        <v>0</v>
      </c>
      <c r="G76" s="31"/>
      <c r="H76" s="31"/>
    </row>
    <row r="77" spans="1:8" x14ac:dyDescent="0.2">
      <c r="A77" s="40" t="s">
        <v>99</v>
      </c>
      <c r="B77" s="4"/>
      <c r="C77" s="162"/>
      <c r="D77" s="83"/>
      <c r="E77" s="90">
        <v>0</v>
      </c>
      <c r="G77" s="31"/>
      <c r="H77" s="31"/>
    </row>
    <row r="78" spans="1:8" x14ac:dyDescent="0.2">
      <c r="A78" s="33" t="s">
        <v>127</v>
      </c>
      <c r="B78" s="4"/>
      <c r="C78" s="9"/>
      <c r="D78" s="163"/>
      <c r="E78" s="90">
        <v>0</v>
      </c>
      <c r="G78" s="31"/>
      <c r="H78" s="31"/>
    </row>
    <row r="79" spans="1:8" x14ac:dyDescent="0.2">
      <c r="A79" s="40" t="s">
        <v>99</v>
      </c>
      <c r="B79" s="4"/>
      <c r="C79" s="9"/>
      <c r="D79" s="163"/>
      <c r="E79" s="90">
        <v>0</v>
      </c>
      <c r="G79" s="31"/>
      <c r="H79" s="31"/>
    </row>
    <row r="80" spans="1:8" x14ac:dyDescent="0.2">
      <c r="A80" s="33" t="s">
        <v>128</v>
      </c>
      <c r="B80" s="4"/>
      <c r="C80" s="9"/>
      <c r="D80" s="163"/>
      <c r="E80" s="90">
        <v>0</v>
      </c>
      <c r="G80" s="31"/>
      <c r="H80" s="31"/>
    </row>
    <row r="81" spans="1:8" x14ac:dyDescent="0.2">
      <c r="A81" s="40" t="s">
        <v>99</v>
      </c>
      <c r="B81" s="4"/>
      <c r="C81" s="9"/>
      <c r="D81" s="163"/>
      <c r="E81" s="90">
        <v>0</v>
      </c>
      <c r="G81" s="31"/>
      <c r="H81" s="31"/>
    </row>
    <row r="82" spans="1:8" x14ac:dyDescent="0.2">
      <c r="A82" s="143" t="s">
        <v>129</v>
      </c>
      <c r="B82" s="3"/>
      <c r="C82" s="42"/>
      <c r="D82" s="164"/>
      <c r="E82" s="90">
        <v>0</v>
      </c>
      <c r="G82" s="30"/>
      <c r="H82" s="30"/>
    </row>
    <row r="83" spans="1:8" x14ac:dyDescent="0.2">
      <c r="A83" s="143" t="s">
        <v>99</v>
      </c>
      <c r="B83" s="3"/>
      <c r="C83" s="42"/>
      <c r="D83" s="164"/>
      <c r="E83" s="90">
        <v>0</v>
      </c>
      <c r="G83" s="20"/>
      <c r="H83" s="20"/>
    </row>
    <row r="84" spans="1:8" x14ac:dyDescent="0.2">
      <c r="A84" s="65" t="s">
        <v>8</v>
      </c>
      <c r="B84" s="4"/>
      <c r="C84" s="9"/>
      <c r="D84" s="3"/>
      <c r="E84" s="169">
        <v>0</v>
      </c>
    </row>
    <row r="85" spans="1:8" x14ac:dyDescent="0.2">
      <c r="A85" s="40" t="s">
        <v>130</v>
      </c>
      <c r="B85" s="4"/>
      <c r="C85" s="9"/>
      <c r="D85" s="3"/>
      <c r="E85" s="169">
        <v>0</v>
      </c>
    </row>
    <row r="86" spans="1:8" x14ac:dyDescent="0.2">
      <c r="A86" s="40" t="s">
        <v>99</v>
      </c>
      <c r="B86" s="4"/>
      <c r="C86" s="9"/>
      <c r="D86" s="3"/>
      <c r="E86" s="169">
        <v>0</v>
      </c>
    </row>
    <row r="87" spans="1:8" x14ac:dyDescent="0.2">
      <c r="A87" s="37" t="s">
        <v>131</v>
      </c>
      <c r="B87" s="3"/>
      <c r="C87" s="42"/>
      <c r="D87" s="164"/>
      <c r="E87" s="90">
        <v>0</v>
      </c>
    </row>
    <row r="88" spans="1:8" x14ac:dyDescent="0.2">
      <c r="A88" s="37" t="s">
        <v>99</v>
      </c>
      <c r="B88" s="3"/>
      <c r="C88" s="42"/>
      <c r="D88" s="164"/>
      <c r="E88" s="90">
        <v>0</v>
      </c>
    </row>
    <row r="89" spans="1:8" x14ac:dyDescent="0.2">
      <c r="A89" s="37" t="s">
        <v>131</v>
      </c>
      <c r="B89" s="3"/>
      <c r="C89" s="42"/>
      <c r="D89" s="164"/>
      <c r="E89" s="90">
        <v>0</v>
      </c>
    </row>
    <row r="90" spans="1:8" x14ac:dyDescent="0.2">
      <c r="A90" s="37" t="s">
        <v>99</v>
      </c>
      <c r="B90" s="3"/>
      <c r="C90" s="42"/>
      <c r="D90" s="164"/>
      <c r="E90" s="90">
        <v>0</v>
      </c>
    </row>
    <row r="91" spans="1:8" x14ac:dyDescent="0.2">
      <c r="A91" s="65" t="s">
        <v>12</v>
      </c>
      <c r="B91" s="4"/>
      <c r="C91" s="9"/>
      <c r="D91" s="3"/>
      <c r="E91" s="169">
        <v>0</v>
      </c>
    </row>
    <row r="92" spans="1:8" ht="13.5" customHeight="1" x14ac:dyDescent="0.2">
      <c r="A92" s="37" t="s">
        <v>175</v>
      </c>
      <c r="B92" s="3"/>
      <c r="C92" s="42"/>
      <c r="D92" s="164"/>
      <c r="E92" s="90">
        <v>0</v>
      </c>
      <c r="H92" s="20"/>
    </row>
    <row r="93" spans="1:8" x14ac:dyDescent="0.2">
      <c r="A93" s="37" t="s">
        <v>99</v>
      </c>
      <c r="B93" s="3"/>
      <c r="C93" s="42"/>
      <c r="D93" s="164"/>
      <c r="E93" s="90">
        <v>0</v>
      </c>
    </row>
    <row r="94" spans="1:8" x14ac:dyDescent="0.2">
      <c r="A94" s="37" t="s">
        <v>176</v>
      </c>
      <c r="B94" s="3"/>
      <c r="C94" s="42"/>
      <c r="D94" s="164"/>
      <c r="E94" s="90">
        <v>0</v>
      </c>
    </row>
    <row r="95" spans="1:8" x14ac:dyDescent="0.2">
      <c r="A95" s="37" t="s">
        <v>99</v>
      </c>
      <c r="B95" s="3"/>
      <c r="C95" s="42"/>
      <c r="D95" s="164"/>
      <c r="E95" s="90">
        <v>0</v>
      </c>
    </row>
    <row r="96" spans="1:8" x14ac:dyDescent="0.2">
      <c r="A96" s="37" t="s">
        <v>177</v>
      </c>
      <c r="B96" s="3"/>
      <c r="C96" s="42"/>
      <c r="D96" s="164"/>
      <c r="E96" s="90">
        <v>0</v>
      </c>
    </row>
    <row r="97" spans="1:8" x14ac:dyDescent="0.2">
      <c r="A97" s="37" t="s">
        <v>99</v>
      </c>
      <c r="B97" s="3"/>
      <c r="C97" s="42"/>
      <c r="D97" s="164"/>
      <c r="E97" s="90">
        <v>0</v>
      </c>
    </row>
    <row r="98" spans="1:8" x14ac:dyDescent="0.2">
      <c r="A98" s="143" t="s">
        <v>30</v>
      </c>
      <c r="B98" s="3"/>
      <c r="C98" s="42"/>
      <c r="D98" s="164"/>
      <c r="E98" s="90">
        <v>0</v>
      </c>
    </row>
    <row r="99" spans="1:8" x14ac:dyDescent="0.2">
      <c r="A99" s="143" t="s">
        <v>31</v>
      </c>
      <c r="B99" s="3"/>
      <c r="C99" s="42"/>
      <c r="D99" s="164"/>
      <c r="E99" s="90">
        <v>0</v>
      </c>
    </row>
    <row r="100" spans="1:8" x14ac:dyDescent="0.2">
      <c r="A100" s="156" t="s">
        <v>198</v>
      </c>
      <c r="B100" s="157"/>
      <c r="C100" s="148"/>
      <c r="D100" s="165"/>
      <c r="E100" s="250">
        <f>SUM(E76:E99)</f>
        <v>0</v>
      </c>
    </row>
    <row r="101" spans="1:8" x14ac:dyDescent="0.2">
      <c r="A101" s="131" t="s">
        <v>10</v>
      </c>
      <c r="B101" s="105"/>
      <c r="C101" s="130"/>
      <c r="D101" s="109"/>
      <c r="E101" s="109"/>
      <c r="F101" s="92"/>
    </row>
    <row r="102" spans="1:8" x14ac:dyDescent="0.2">
      <c r="A102" s="144"/>
      <c r="B102" s="3"/>
      <c r="C102" s="9"/>
      <c r="D102" s="10"/>
      <c r="E102" s="7" t="s">
        <v>240</v>
      </c>
    </row>
    <row r="103" spans="1:8" x14ac:dyDescent="0.2">
      <c r="A103" s="143" t="s">
        <v>118</v>
      </c>
      <c r="B103" s="3"/>
      <c r="C103" s="42"/>
      <c r="D103" s="43"/>
      <c r="E103" s="90">
        <v>0</v>
      </c>
    </row>
    <row r="104" spans="1:8" x14ac:dyDescent="0.2">
      <c r="A104" s="143"/>
      <c r="B104" s="3"/>
      <c r="C104" s="225" t="s">
        <v>116</v>
      </c>
      <c r="D104" s="226" t="s">
        <v>257</v>
      </c>
      <c r="E104" s="7" t="s">
        <v>240</v>
      </c>
    </row>
    <row r="105" spans="1:8" x14ac:dyDescent="0.2">
      <c r="A105" s="20" t="s">
        <v>115</v>
      </c>
      <c r="B105" s="5"/>
      <c r="C105" s="150">
        <v>0</v>
      </c>
      <c r="D105" s="151">
        <v>5.5</v>
      </c>
      <c r="E105" s="246">
        <f>+C105*D105</f>
        <v>0</v>
      </c>
    </row>
    <row r="106" spans="1:8" x14ac:dyDescent="0.2">
      <c r="A106" s="152" t="s">
        <v>117</v>
      </c>
      <c r="B106" s="153"/>
      <c r="C106" s="154"/>
      <c r="D106" s="155"/>
      <c r="E106" s="250">
        <f>E105+E103</f>
        <v>0</v>
      </c>
    </row>
    <row r="107" spans="1:8" ht="15" x14ac:dyDescent="0.25">
      <c r="A107" s="110" t="s">
        <v>93</v>
      </c>
      <c r="B107" s="103"/>
      <c r="C107" s="104"/>
      <c r="D107" s="105"/>
      <c r="E107" s="105"/>
      <c r="F107" s="92"/>
      <c r="H107" s="129"/>
    </row>
    <row r="108" spans="1:8" ht="13.5" customHeight="1" x14ac:dyDescent="0.2">
      <c r="A108" s="18"/>
      <c r="B108" s="4"/>
      <c r="C108" s="3"/>
      <c r="D108" s="3"/>
      <c r="E108" s="7" t="s">
        <v>240</v>
      </c>
    </row>
    <row r="109" spans="1:8" ht="13.5" customHeight="1" x14ac:dyDescent="0.2">
      <c r="A109" s="33" t="s">
        <v>232</v>
      </c>
      <c r="B109" s="4"/>
      <c r="C109" s="3"/>
      <c r="D109" s="3"/>
      <c r="E109" s="173">
        <v>185</v>
      </c>
    </row>
    <row r="110" spans="1:8" x14ac:dyDescent="0.2">
      <c r="A110" s="33" t="s">
        <v>28</v>
      </c>
      <c r="B110" s="4"/>
      <c r="C110" s="42"/>
      <c r="D110" s="43"/>
      <c r="E110" s="90">
        <v>25</v>
      </c>
    </row>
    <row r="111" spans="1:8" x14ac:dyDescent="0.2">
      <c r="A111" s="33" t="s">
        <v>102</v>
      </c>
      <c r="B111" s="4"/>
      <c r="C111" s="42"/>
      <c r="D111" s="43"/>
      <c r="E111" s="90">
        <v>0</v>
      </c>
    </row>
    <row r="112" spans="1:8" ht="15" x14ac:dyDescent="0.25">
      <c r="A112" s="33" t="s">
        <v>91</v>
      </c>
      <c r="B112" s="40" t="s">
        <v>233</v>
      </c>
      <c r="C112" s="42"/>
      <c r="D112" s="43"/>
      <c r="E112" s="90">
        <v>0</v>
      </c>
      <c r="H112" s="128"/>
    </row>
    <row r="113" spans="1:8" ht="15" x14ac:dyDescent="0.25">
      <c r="A113" s="33" t="s">
        <v>101</v>
      </c>
      <c r="B113" s="40"/>
      <c r="C113" s="42"/>
      <c r="D113" s="43"/>
      <c r="E113" s="193">
        <v>2.5</v>
      </c>
      <c r="H113" s="128"/>
    </row>
    <row r="114" spans="1:8" x14ac:dyDescent="0.2">
      <c r="A114" s="146" t="s">
        <v>120</v>
      </c>
      <c r="B114" s="147"/>
      <c r="C114" s="148"/>
      <c r="D114" s="149"/>
      <c r="E114" s="250">
        <f>SUM(E109:E113)</f>
        <v>212.5</v>
      </c>
    </row>
    <row r="115" spans="1:8" x14ac:dyDescent="0.2">
      <c r="A115" s="92"/>
      <c r="B115" s="103"/>
      <c r="C115" s="135"/>
      <c r="D115" s="136"/>
      <c r="E115" s="133"/>
      <c r="F115" s="92"/>
    </row>
    <row r="116" spans="1:8" x14ac:dyDescent="0.2">
      <c r="A116" s="287" t="s">
        <v>202</v>
      </c>
      <c r="B116" s="288"/>
      <c r="C116" s="289"/>
      <c r="D116" s="290"/>
      <c r="E116" s="250">
        <f>E60+E73+E100+E106+E114</f>
        <v>531.4</v>
      </c>
    </row>
    <row r="117" spans="1:8" x14ac:dyDescent="0.2">
      <c r="A117" s="14"/>
      <c r="B117" s="3"/>
      <c r="C117" s="9"/>
      <c r="D117" s="10"/>
      <c r="E117" s="126"/>
    </row>
    <row r="118" spans="1:8" x14ac:dyDescent="0.2">
      <c r="A118" s="111" t="s">
        <v>100</v>
      </c>
      <c r="B118" s="92"/>
      <c r="C118" s="127"/>
      <c r="D118" s="103"/>
      <c r="E118" s="92"/>
      <c r="F118" s="92"/>
    </row>
    <row r="119" spans="1:8" x14ac:dyDescent="0.2">
      <c r="A119" s="11" t="s">
        <v>121</v>
      </c>
      <c r="C119" s="219" t="s">
        <v>256</v>
      </c>
      <c r="D119" s="228" t="s">
        <v>255</v>
      </c>
      <c r="E119" s="7" t="s">
        <v>240</v>
      </c>
    </row>
    <row r="120" spans="1:8" x14ac:dyDescent="0.2">
      <c r="A120" s="199" t="s">
        <v>82</v>
      </c>
      <c r="B120" s="4"/>
      <c r="C120" s="68">
        <v>1</v>
      </c>
      <c r="D120" s="89">
        <v>20</v>
      </c>
      <c r="E120" s="241">
        <f>C120*D120</f>
        <v>20</v>
      </c>
    </row>
    <row r="121" spans="1:8" x14ac:dyDescent="0.2">
      <c r="A121" s="199" t="s">
        <v>9</v>
      </c>
      <c r="B121" s="4"/>
      <c r="C121" s="68">
        <v>1</v>
      </c>
      <c r="D121" s="90">
        <v>18</v>
      </c>
      <c r="E121" s="241">
        <f t="shared" ref="E121:E128" si="3">C121*D121</f>
        <v>18</v>
      </c>
    </row>
    <row r="122" spans="1:8" x14ac:dyDescent="0.2">
      <c r="A122" s="199" t="s">
        <v>327</v>
      </c>
      <c r="B122" s="4"/>
      <c r="C122" s="68">
        <v>1</v>
      </c>
      <c r="D122" s="90">
        <v>22.5</v>
      </c>
      <c r="E122" s="241">
        <f t="shared" si="3"/>
        <v>22.5</v>
      </c>
    </row>
    <row r="123" spans="1:8" x14ac:dyDescent="0.2">
      <c r="A123" s="199"/>
      <c r="B123" s="4"/>
      <c r="C123" s="68"/>
      <c r="D123" s="90">
        <v>0</v>
      </c>
      <c r="E123" s="241">
        <f t="shared" si="3"/>
        <v>0</v>
      </c>
    </row>
    <row r="124" spans="1:8" x14ac:dyDescent="0.2">
      <c r="A124" s="199"/>
      <c r="B124" s="4"/>
      <c r="C124" s="68"/>
      <c r="D124" s="90">
        <v>0</v>
      </c>
      <c r="E124" s="241">
        <f t="shared" si="3"/>
        <v>0</v>
      </c>
    </row>
    <row r="125" spans="1:8" ht="14.25" customHeight="1" x14ac:dyDescent="0.2">
      <c r="A125" s="213" t="s">
        <v>108</v>
      </c>
      <c r="B125" s="4"/>
      <c r="C125" s="68">
        <v>0</v>
      </c>
      <c r="D125" s="90">
        <v>18</v>
      </c>
      <c r="E125" s="241">
        <f t="shared" si="3"/>
        <v>0</v>
      </c>
    </row>
    <row r="126" spans="1:8" ht="14.25" customHeight="1" x14ac:dyDescent="0.2">
      <c r="A126" s="213"/>
      <c r="B126" s="4"/>
      <c r="C126" s="68"/>
      <c r="D126" s="90">
        <v>0</v>
      </c>
      <c r="E126" s="241">
        <v>0</v>
      </c>
    </row>
    <row r="127" spans="1:8" ht="14.25" customHeight="1" x14ac:dyDescent="0.2">
      <c r="A127" s="213"/>
      <c r="B127" s="4"/>
      <c r="C127" s="68"/>
      <c r="D127" s="90">
        <v>0</v>
      </c>
      <c r="E127" s="241">
        <v>0</v>
      </c>
    </row>
    <row r="128" spans="1:8" ht="12" customHeight="1" x14ac:dyDescent="0.2">
      <c r="A128" s="213"/>
      <c r="B128" s="3"/>
      <c r="C128" s="68"/>
      <c r="D128" s="90">
        <v>0</v>
      </c>
      <c r="E128" s="241">
        <f t="shared" si="3"/>
        <v>0</v>
      </c>
    </row>
    <row r="129" spans="1:19" ht="12.75" customHeight="1" x14ac:dyDescent="0.2">
      <c r="A129" s="199"/>
      <c r="B129" s="292"/>
      <c r="C129" s="68"/>
      <c r="D129" s="90">
        <v>0</v>
      </c>
      <c r="E129" s="245">
        <f>C129*D129</f>
        <v>0</v>
      </c>
    </row>
    <row r="130" spans="1:19" ht="12" customHeight="1" x14ac:dyDescent="0.2">
      <c r="A130" s="287" t="s">
        <v>183</v>
      </c>
      <c r="B130" s="288"/>
      <c r="C130" s="289"/>
      <c r="D130" s="291"/>
      <c r="E130" s="250">
        <f>SUM(E120:E129)</f>
        <v>60.5</v>
      </c>
      <c r="H130" s="322" t="s">
        <v>336</v>
      </c>
    </row>
    <row r="131" spans="1:19" ht="12" customHeight="1" x14ac:dyDescent="0.2">
      <c r="A131" s="8"/>
      <c r="B131" s="3"/>
      <c r="C131" s="9"/>
      <c r="D131" s="3"/>
      <c r="E131" s="126"/>
      <c r="H131" s="323" t="s">
        <v>355</v>
      </c>
    </row>
    <row r="132" spans="1:19" ht="12.75" customHeight="1" x14ac:dyDescent="0.2">
      <c r="A132" s="14" t="s">
        <v>220</v>
      </c>
      <c r="B132" s="3"/>
      <c r="C132" s="7" t="s">
        <v>312</v>
      </c>
      <c r="D132" s="7" t="s">
        <v>255</v>
      </c>
      <c r="E132" s="7" t="s">
        <v>240</v>
      </c>
    </row>
    <row r="133" spans="1:19" ht="12.75" customHeight="1" x14ac:dyDescent="0.2">
      <c r="A133" s="196" t="s">
        <v>346</v>
      </c>
      <c r="B133" s="3"/>
      <c r="C133" s="68">
        <v>4</v>
      </c>
      <c r="D133" s="91">
        <v>18</v>
      </c>
      <c r="E133" s="245">
        <f>C133*D133</f>
        <v>72</v>
      </c>
      <c r="H133" s="322" t="s">
        <v>334</v>
      </c>
    </row>
    <row r="134" spans="1:19" ht="12.75" customHeight="1" x14ac:dyDescent="0.2">
      <c r="A134" s="199" t="s">
        <v>347</v>
      </c>
      <c r="B134" s="40"/>
      <c r="C134" s="68">
        <v>4</v>
      </c>
      <c r="D134" s="91">
        <v>18</v>
      </c>
      <c r="E134" s="245">
        <f t="shared" ref="E134:E140" si="4">C134*D134</f>
        <v>72</v>
      </c>
      <c r="H134" s="323" t="s">
        <v>335</v>
      </c>
      <c r="S134" s="4"/>
    </row>
    <row r="135" spans="1:19" ht="12.75" customHeight="1" x14ac:dyDescent="0.2">
      <c r="A135" s="199" t="s">
        <v>348</v>
      </c>
      <c r="B135" s="4"/>
      <c r="C135" s="68">
        <v>4</v>
      </c>
      <c r="D135" s="91">
        <v>70</v>
      </c>
      <c r="E135" s="245">
        <f t="shared" si="4"/>
        <v>280</v>
      </c>
      <c r="H135" s="36" t="s">
        <v>357</v>
      </c>
      <c r="S135" s="4"/>
    </row>
    <row r="136" spans="1:19" ht="12.75" customHeight="1" x14ac:dyDescent="0.2">
      <c r="A136" s="199"/>
      <c r="B136" s="40"/>
      <c r="C136" s="68"/>
      <c r="D136" s="91">
        <v>0</v>
      </c>
      <c r="E136" s="245">
        <f t="shared" si="4"/>
        <v>0</v>
      </c>
      <c r="S136" s="4"/>
    </row>
    <row r="137" spans="1:19" ht="12.75" customHeight="1" x14ac:dyDescent="0.2">
      <c r="A137" s="199"/>
      <c r="B137" s="40"/>
      <c r="C137" s="68"/>
      <c r="D137" s="91">
        <v>0</v>
      </c>
      <c r="E137" s="245">
        <f t="shared" si="4"/>
        <v>0</v>
      </c>
      <c r="H137" t="s">
        <v>358</v>
      </c>
      <c r="S137" s="4"/>
    </row>
    <row r="138" spans="1:19" ht="12.75" customHeight="1" x14ac:dyDescent="0.2">
      <c r="A138" s="199"/>
      <c r="B138" s="40"/>
      <c r="C138" s="68"/>
      <c r="D138" s="91">
        <v>0</v>
      </c>
      <c r="E138" s="245">
        <f t="shared" si="4"/>
        <v>0</v>
      </c>
      <c r="H138" s="323" t="s">
        <v>359</v>
      </c>
      <c r="S138" s="4"/>
    </row>
    <row r="139" spans="1:19" ht="12.75" customHeight="1" x14ac:dyDescent="0.2">
      <c r="A139" s="199"/>
      <c r="B139" s="40"/>
      <c r="C139" s="68"/>
      <c r="D139" s="91">
        <v>0</v>
      </c>
      <c r="E139" s="245">
        <f t="shared" si="4"/>
        <v>0</v>
      </c>
      <c r="S139" s="4"/>
    </row>
    <row r="140" spans="1:19" ht="12.75" customHeight="1" x14ac:dyDescent="0.2">
      <c r="A140" s="199"/>
      <c r="B140" s="295"/>
      <c r="C140" s="68"/>
      <c r="D140" s="90">
        <v>0</v>
      </c>
      <c r="E140" s="245">
        <f t="shared" si="4"/>
        <v>0</v>
      </c>
      <c r="H140" s="322" t="s">
        <v>337</v>
      </c>
      <c r="S140" s="4"/>
    </row>
    <row r="141" spans="1:19" ht="12.75" customHeight="1" x14ac:dyDescent="0.2">
      <c r="A141" s="168" t="s">
        <v>221</v>
      </c>
      <c r="B141" s="132"/>
      <c r="C141" s="293"/>
      <c r="D141" s="297"/>
      <c r="E141" s="298">
        <f>SUM(E133:E140)</f>
        <v>424</v>
      </c>
      <c r="H141" s="323" t="s">
        <v>338</v>
      </c>
      <c r="S141" s="4"/>
    </row>
    <row r="142" spans="1:19" ht="12.75" customHeight="1" x14ac:dyDescent="0.2">
      <c r="A142" s="40"/>
      <c r="B142" s="40"/>
      <c r="C142" s="42"/>
      <c r="D142" s="164"/>
      <c r="E142" s="93"/>
      <c r="S142" s="4"/>
    </row>
    <row r="143" spans="1:19" ht="12.75" customHeight="1" x14ac:dyDescent="0.2">
      <c r="A143" s="198" t="s">
        <v>271</v>
      </c>
      <c r="B143" s="7" t="s">
        <v>311</v>
      </c>
      <c r="C143" s="225" t="s">
        <v>268</v>
      </c>
      <c r="D143" s="226" t="s">
        <v>267</v>
      </c>
      <c r="E143" s="7" t="s">
        <v>240</v>
      </c>
      <c r="H143" s="322" t="s">
        <v>339</v>
      </c>
      <c r="S143" s="4"/>
    </row>
    <row r="144" spans="1:19" ht="12.75" customHeight="1" x14ac:dyDescent="0.2">
      <c r="A144" s="199" t="s">
        <v>354</v>
      </c>
      <c r="B144" s="207"/>
      <c r="C144" s="68"/>
      <c r="D144" s="90">
        <v>0</v>
      </c>
      <c r="E144" s="245">
        <f t="shared" ref="E144:E145" si="5">IFERROR((D144/C144)*B144,0)</f>
        <v>0</v>
      </c>
      <c r="H144" s="323" t="s">
        <v>356</v>
      </c>
      <c r="S144" s="4"/>
    </row>
    <row r="145" spans="1:19" ht="12.75" customHeight="1" x14ac:dyDescent="0.2">
      <c r="A145" s="199"/>
      <c r="B145" s="207"/>
      <c r="C145" s="68"/>
      <c r="D145" s="91">
        <v>0</v>
      </c>
      <c r="E145" s="245">
        <f t="shared" si="5"/>
        <v>0</v>
      </c>
      <c r="S145" s="4"/>
    </row>
    <row r="146" spans="1:19" ht="12.75" customHeight="1" x14ac:dyDescent="0.2">
      <c r="A146" s="199"/>
      <c r="B146" s="207"/>
      <c r="C146" s="68"/>
      <c r="D146" s="91">
        <v>0</v>
      </c>
      <c r="E146" s="245">
        <f>IFERROR((D146/C146)*B146,0)</f>
        <v>0</v>
      </c>
      <c r="S146" s="4"/>
    </row>
    <row r="147" spans="1:19" ht="12.75" customHeight="1" x14ac:dyDescent="0.2">
      <c r="A147" s="199"/>
      <c r="B147" s="207"/>
      <c r="C147" s="68"/>
      <c r="D147" s="91">
        <v>0</v>
      </c>
      <c r="E147" s="245">
        <f t="shared" ref="E147:E151" si="6">IFERROR((D147/C147)*B147,0)</f>
        <v>0</v>
      </c>
      <c r="S147" s="4"/>
    </row>
    <row r="148" spans="1:19" ht="12.75" customHeight="1" x14ac:dyDescent="0.2">
      <c r="A148" s="199"/>
      <c r="B148" s="207"/>
      <c r="C148" s="68"/>
      <c r="D148" s="91">
        <v>0</v>
      </c>
      <c r="E148" s="245">
        <f t="shared" si="6"/>
        <v>0</v>
      </c>
      <c r="S148" s="4"/>
    </row>
    <row r="149" spans="1:19" ht="12.75" customHeight="1" x14ac:dyDescent="0.2">
      <c r="A149" s="199"/>
      <c r="B149" s="207"/>
      <c r="C149" s="68"/>
      <c r="D149" s="91">
        <v>0</v>
      </c>
      <c r="E149" s="245">
        <f t="shared" si="6"/>
        <v>0</v>
      </c>
      <c r="S149" s="4"/>
    </row>
    <row r="150" spans="1:19" ht="12.75" customHeight="1" x14ac:dyDescent="0.2">
      <c r="A150" s="230"/>
      <c r="B150" s="207"/>
      <c r="C150" s="77"/>
      <c r="D150" s="174">
        <v>0</v>
      </c>
      <c r="E150" s="245">
        <f t="shared" si="6"/>
        <v>0</v>
      </c>
      <c r="S150" s="4"/>
    </row>
    <row r="151" spans="1:19" ht="12.75" customHeight="1" x14ac:dyDescent="0.2">
      <c r="A151" s="199"/>
      <c r="B151" s="207"/>
      <c r="C151" s="68"/>
      <c r="D151" s="90">
        <v>0</v>
      </c>
      <c r="E151" s="245">
        <f t="shared" si="6"/>
        <v>0</v>
      </c>
      <c r="S151" s="4"/>
    </row>
    <row r="152" spans="1:19" ht="12.75" customHeight="1" x14ac:dyDescent="0.2">
      <c r="A152" s="302" t="s">
        <v>222</v>
      </c>
      <c r="B152" s="303"/>
      <c r="C152" s="304"/>
      <c r="D152" s="305"/>
      <c r="E152" s="250">
        <f>SUM(E144:E151)</f>
        <v>0</v>
      </c>
      <c r="S152" s="4"/>
    </row>
    <row r="153" spans="1:19" ht="12.75" customHeight="1" x14ac:dyDescent="0.2">
      <c r="A153" s="40"/>
      <c r="B153" s="40"/>
      <c r="C153" s="42"/>
      <c r="D153" s="164"/>
      <c r="E153" s="93"/>
      <c r="S153" s="4"/>
    </row>
    <row r="154" spans="1:19" ht="12.75" customHeight="1" x14ac:dyDescent="0.2">
      <c r="A154" s="260" t="s">
        <v>309</v>
      </c>
      <c r="B154" s="40"/>
      <c r="C154" s="225" t="s">
        <v>310</v>
      </c>
      <c r="D154" s="234" t="s">
        <v>301</v>
      </c>
      <c r="E154" s="93"/>
      <c r="S154" s="4"/>
    </row>
    <row r="155" spans="1:19" ht="12.75" customHeight="1" x14ac:dyDescent="0.2">
      <c r="A155" s="199"/>
      <c r="B155" s="40"/>
      <c r="C155" s="68"/>
      <c r="D155" s="90">
        <v>0</v>
      </c>
      <c r="E155" s="245">
        <f>C155*D155</f>
        <v>0</v>
      </c>
      <c r="S155" s="4"/>
    </row>
    <row r="156" spans="1:19" ht="12.75" customHeight="1" x14ac:dyDescent="0.2">
      <c r="A156" s="199"/>
      <c r="B156" s="40"/>
      <c r="C156" s="68"/>
      <c r="D156" s="91">
        <v>0</v>
      </c>
      <c r="E156" s="245">
        <f t="shared" ref="E156:E161" si="7">C156*D156</f>
        <v>0</v>
      </c>
      <c r="S156" s="4"/>
    </row>
    <row r="157" spans="1:19" ht="12.75" customHeight="1" x14ac:dyDescent="0.2">
      <c r="A157" s="199" t="s">
        <v>210</v>
      </c>
      <c r="B157" s="40"/>
      <c r="C157" s="68"/>
      <c r="D157" s="91">
        <v>0</v>
      </c>
      <c r="E157" s="245">
        <f t="shared" si="7"/>
        <v>0</v>
      </c>
      <c r="S157" s="4"/>
    </row>
    <row r="158" spans="1:19" ht="12.75" customHeight="1" x14ac:dyDescent="0.2">
      <c r="A158" s="199"/>
      <c r="B158" s="40"/>
      <c r="C158" s="68"/>
      <c r="D158" s="91">
        <v>0</v>
      </c>
      <c r="E158" s="245">
        <f t="shared" si="7"/>
        <v>0</v>
      </c>
      <c r="S158" s="4"/>
    </row>
    <row r="159" spans="1:19" ht="12.75" customHeight="1" x14ac:dyDescent="0.2">
      <c r="A159" s="199"/>
      <c r="B159" s="40"/>
      <c r="C159" s="68"/>
      <c r="D159" s="91">
        <v>0</v>
      </c>
      <c r="E159" s="245">
        <f t="shared" si="7"/>
        <v>0</v>
      </c>
      <c r="S159" s="4"/>
    </row>
    <row r="160" spans="1:19" ht="12.75" customHeight="1" x14ac:dyDescent="0.2">
      <c r="A160" s="199"/>
      <c r="B160" s="40"/>
      <c r="C160" s="68"/>
      <c r="D160" s="91">
        <v>0</v>
      </c>
      <c r="E160" s="245">
        <f t="shared" si="7"/>
        <v>0</v>
      </c>
      <c r="S160" s="4"/>
    </row>
    <row r="161" spans="1:19" ht="12.75" customHeight="1" x14ac:dyDescent="0.2">
      <c r="A161" s="199"/>
      <c r="B161" s="295"/>
      <c r="C161" s="68"/>
      <c r="D161" s="90">
        <v>0</v>
      </c>
      <c r="E161" s="245">
        <f t="shared" si="7"/>
        <v>0</v>
      </c>
      <c r="S161" s="4"/>
    </row>
    <row r="162" spans="1:19" ht="12.75" customHeight="1" x14ac:dyDescent="0.2">
      <c r="A162" s="301" t="s">
        <v>223</v>
      </c>
      <c r="B162" s="132"/>
      <c r="C162" s="293"/>
      <c r="D162" s="297"/>
      <c r="E162" s="250">
        <f>SUM(E155:E161)</f>
        <v>0</v>
      </c>
      <c r="S162" s="4"/>
    </row>
    <row r="163" spans="1:19" ht="12.75" customHeight="1" x14ac:dyDescent="0.2">
      <c r="A163" s="40"/>
      <c r="B163" s="40"/>
      <c r="C163" s="42"/>
      <c r="D163" s="164"/>
      <c r="E163" s="93"/>
      <c r="S163" s="4"/>
    </row>
    <row r="164" spans="1:19" ht="12.75" customHeight="1" x14ac:dyDescent="0.2">
      <c r="A164" s="260" t="s">
        <v>273</v>
      </c>
      <c r="B164" s="40"/>
      <c r="C164" s="225" t="s">
        <v>308</v>
      </c>
      <c r="D164" s="226" t="s">
        <v>239</v>
      </c>
      <c r="E164" s="93"/>
      <c r="S164" s="4"/>
    </row>
    <row r="165" spans="1:19" ht="12.75" customHeight="1" x14ac:dyDescent="0.2">
      <c r="A165" s="199"/>
      <c r="B165" s="40"/>
      <c r="C165" s="68"/>
      <c r="D165" s="90">
        <v>0</v>
      </c>
      <c r="E165" s="245">
        <f>C165*D165</f>
        <v>0</v>
      </c>
      <c r="S165" s="4"/>
    </row>
    <row r="166" spans="1:19" ht="12.75" customHeight="1" x14ac:dyDescent="0.2">
      <c r="A166" s="199"/>
      <c r="B166" s="40"/>
      <c r="C166" s="68"/>
      <c r="D166" s="90">
        <v>0</v>
      </c>
      <c r="E166" s="245">
        <f t="shared" ref="E166:E171" si="8">C166*D166</f>
        <v>0</v>
      </c>
      <c r="S166" s="4"/>
    </row>
    <row r="167" spans="1:19" ht="12.75" customHeight="1" x14ac:dyDescent="0.2">
      <c r="A167" s="199"/>
      <c r="B167" s="40"/>
      <c r="C167" s="68"/>
      <c r="D167" s="90">
        <v>0</v>
      </c>
      <c r="E167" s="245">
        <f t="shared" si="8"/>
        <v>0</v>
      </c>
      <c r="S167" s="4"/>
    </row>
    <row r="168" spans="1:19" ht="12.75" customHeight="1" x14ac:dyDescent="0.2">
      <c r="A168" s="199"/>
      <c r="B168" s="40"/>
      <c r="C168" s="68"/>
      <c r="D168" s="90">
        <v>0</v>
      </c>
      <c r="E168" s="245">
        <f t="shared" si="8"/>
        <v>0</v>
      </c>
      <c r="S168" s="4"/>
    </row>
    <row r="169" spans="1:19" ht="12.75" customHeight="1" x14ac:dyDescent="0.2">
      <c r="A169" s="199"/>
      <c r="B169" s="40"/>
      <c r="C169" s="68"/>
      <c r="D169" s="90">
        <v>0</v>
      </c>
      <c r="E169" s="245">
        <f t="shared" si="8"/>
        <v>0</v>
      </c>
      <c r="S169" s="4"/>
    </row>
    <row r="170" spans="1:19" ht="12.75" customHeight="1" x14ac:dyDescent="0.2">
      <c r="A170" s="230"/>
      <c r="B170" s="40"/>
      <c r="C170" s="68"/>
      <c r="D170" s="193">
        <v>0</v>
      </c>
      <c r="E170" s="246">
        <f t="shared" si="8"/>
        <v>0</v>
      </c>
      <c r="S170" s="4"/>
    </row>
    <row r="171" spans="1:19" ht="12.75" customHeight="1" x14ac:dyDescent="0.2">
      <c r="A171" s="199"/>
      <c r="B171" s="295"/>
      <c r="C171" s="68"/>
      <c r="D171" s="90">
        <v>0</v>
      </c>
      <c r="E171" s="245">
        <f t="shared" si="8"/>
        <v>0</v>
      </c>
      <c r="S171" s="4"/>
    </row>
    <row r="172" spans="1:19" ht="12.75" customHeight="1" x14ac:dyDescent="0.2">
      <c r="A172" s="302" t="s">
        <v>224</v>
      </c>
      <c r="B172" s="303"/>
      <c r="C172" s="304"/>
      <c r="D172" s="305"/>
      <c r="E172" s="250">
        <f>SUM(E165:E171)</f>
        <v>0</v>
      </c>
      <c r="S172" s="4"/>
    </row>
    <row r="173" spans="1:19" ht="12.75" customHeight="1" x14ac:dyDescent="0.2">
      <c r="A173" s="40"/>
      <c r="B173" s="40"/>
      <c r="C173" s="42"/>
      <c r="D173" s="164"/>
      <c r="E173" s="93"/>
      <c r="S173" s="4"/>
    </row>
    <row r="174" spans="1:19" ht="12.75" customHeight="1" x14ac:dyDescent="0.2">
      <c r="A174" s="198" t="s">
        <v>34</v>
      </c>
      <c r="B174" s="7" t="s">
        <v>275</v>
      </c>
      <c r="C174" s="225" t="s">
        <v>124</v>
      </c>
      <c r="D174" s="235" t="s">
        <v>253</v>
      </c>
      <c r="E174" s="7" t="s">
        <v>240</v>
      </c>
      <c r="S174" s="4"/>
    </row>
    <row r="175" spans="1:19" ht="12.75" customHeight="1" x14ac:dyDescent="0.2">
      <c r="A175" s="199" t="s">
        <v>134</v>
      </c>
      <c r="B175" s="207">
        <v>15</v>
      </c>
      <c r="C175" s="68">
        <v>0</v>
      </c>
      <c r="D175" s="71">
        <v>4</v>
      </c>
      <c r="E175" s="245">
        <f>((C175*D175)*((C14+C15)/B175))</f>
        <v>0</v>
      </c>
      <c r="S175" s="4"/>
    </row>
    <row r="176" spans="1:19" ht="12.75" customHeight="1" x14ac:dyDescent="0.2">
      <c r="A176" s="230"/>
      <c r="B176" s="207">
        <v>10</v>
      </c>
      <c r="C176" s="77"/>
      <c r="D176" s="174"/>
      <c r="E176" s="246">
        <f>((C176*D176)*(C16/B176))</f>
        <v>0</v>
      </c>
      <c r="S176" s="4"/>
    </row>
    <row r="177" spans="1:19" ht="12.75" customHeight="1" x14ac:dyDescent="0.2">
      <c r="A177" s="146" t="s">
        <v>123</v>
      </c>
      <c r="B177" s="147"/>
      <c r="C177" s="148"/>
      <c r="D177" s="149"/>
      <c r="E177" s="250">
        <f>E141+E152+E162+E172+E175+E176</f>
        <v>424</v>
      </c>
      <c r="S177" s="4"/>
    </row>
    <row r="178" spans="1:19" ht="12.75" customHeight="1" x14ac:dyDescent="0.2">
      <c r="A178" s="110" t="s">
        <v>32</v>
      </c>
      <c r="B178" s="106"/>
      <c r="C178" s="107"/>
      <c r="D178" s="108"/>
      <c r="E178" s="109"/>
      <c r="F178" s="92"/>
      <c r="S178" s="4"/>
    </row>
    <row r="179" spans="1:19" ht="12.75" customHeight="1" x14ac:dyDescent="0.2">
      <c r="A179" s="40"/>
      <c r="B179" s="236" t="s">
        <v>179</v>
      </c>
      <c r="C179" s="236" t="s">
        <v>276</v>
      </c>
      <c r="D179" s="237" t="s">
        <v>277</v>
      </c>
      <c r="E179" s="7" t="s">
        <v>240</v>
      </c>
      <c r="S179" s="4"/>
    </row>
    <row r="180" spans="1:19" ht="12.75" customHeight="1" x14ac:dyDescent="0.2">
      <c r="A180" s="199" t="s">
        <v>212</v>
      </c>
      <c r="B180" s="218">
        <v>1</v>
      </c>
      <c r="C180" s="172">
        <v>260</v>
      </c>
      <c r="D180" s="173">
        <v>1000</v>
      </c>
      <c r="E180" s="274">
        <f>IFERROR(((D180/C180)*($C$14+$C$15))*B180,0)</f>
        <v>46.153846153846153</v>
      </c>
      <c r="S180" s="4"/>
    </row>
    <row r="181" spans="1:19" ht="12.75" customHeight="1" x14ac:dyDescent="0.25">
      <c r="A181" s="199" t="s">
        <v>211</v>
      </c>
      <c r="B181" s="218">
        <v>0</v>
      </c>
      <c r="C181" s="68">
        <v>400</v>
      </c>
      <c r="D181" s="90">
        <v>0</v>
      </c>
      <c r="E181" s="245">
        <f t="shared" ref="E181:E182" si="9">IFERROR(((D181/C181)*($C$14+$C$15))*B181,0)</f>
        <v>0</v>
      </c>
      <c r="H181" s="188" t="s">
        <v>144</v>
      </c>
      <c r="I181" s="177"/>
      <c r="J181" s="177"/>
      <c r="K181" s="177"/>
      <c r="L181" s="178"/>
      <c r="M181" s="179"/>
      <c r="S181" s="4"/>
    </row>
    <row r="182" spans="1:19" ht="12.75" customHeight="1" x14ac:dyDescent="0.25">
      <c r="A182" s="199" t="s">
        <v>181</v>
      </c>
      <c r="B182" s="218"/>
      <c r="C182" s="68"/>
      <c r="D182" s="90"/>
      <c r="E182" s="245">
        <f t="shared" si="9"/>
        <v>0</v>
      </c>
      <c r="H182" s="180" t="s">
        <v>145</v>
      </c>
      <c r="I182" s="181"/>
      <c r="J182" s="181"/>
      <c r="K182" s="182" t="s">
        <v>154</v>
      </c>
      <c r="L182" s="178"/>
      <c r="M182" s="179"/>
      <c r="S182" s="4"/>
    </row>
    <row r="183" spans="1:19" ht="12.75" customHeight="1" x14ac:dyDescent="0.25">
      <c r="A183" s="192"/>
      <c r="B183" s="40" t="s">
        <v>180</v>
      </c>
      <c r="C183" s="134" t="s">
        <v>279</v>
      </c>
      <c r="D183" s="300" t="s">
        <v>278</v>
      </c>
      <c r="E183" s="102"/>
      <c r="H183" s="183" t="s">
        <v>146</v>
      </c>
      <c r="I183" s="181"/>
      <c r="J183" s="181"/>
      <c r="K183" s="181" t="s">
        <v>147</v>
      </c>
      <c r="L183" s="181"/>
      <c r="M183" s="184"/>
      <c r="S183" s="4"/>
    </row>
    <row r="184" spans="1:19" ht="12.75" customHeight="1" x14ac:dyDescent="0.25">
      <c r="A184" s="199" t="s">
        <v>178</v>
      </c>
      <c r="B184" s="207"/>
      <c r="C184" s="68"/>
      <c r="D184" s="90"/>
      <c r="E184" s="245">
        <f>IFERROR(((D184/C184)*($C$14+$C$15))*B184,0)</f>
        <v>0</v>
      </c>
      <c r="H184" s="183" t="s">
        <v>148</v>
      </c>
      <c r="I184" s="181"/>
      <c r="J184" s="181"/>
      <c r="K184" s="181" t="s">
        <v>149</v>
      </c>
      <c r="L184" s="181"/>
      <c r="M184" s="184"/>
      <c r="S184" s="4"/>
    </row>
    <row r="185" spans="1:19" ht="12.75" customHeight="1" x14ac:dyDescent="0.25">
      <c r="A185" s="40"/>
      <c r="B185" s="40"/>
      <c r="C185" s="44"/>
      <c r="D185" s="226" t="s">
        <v>155</v>
      </c>
      <c r="E185" s="7" t="s">
        <v>240</v>
      </c>
      <c r="H185" s="183" t="s">
        <v>150</v>
      </c>
      <c r="I185" s="181"/>
      <c r="J185" s="181"/>
      <c r="K185" s="181" t="s">
        <v>151</v>
      </c>
      <c r="L185" s="181"/>
      <c r="M185" s="184"/>
      <c r="S185" s="4"/>
    </row>
    <row r="186" spans="1:19" ht="12.75" customHeight="1" x14ac:dyDescent="0.25">
      <c r="A186" s="40" t="s">
        <v>213</v>
      </c>
      <c r="B186" s="189"/>
      <c r="C186" s="42"/>
      <c r="D186" s="191">
        <v>0.1</v>
      </c>
      <c r="E186" s="251">
        <f>(E18)*D186</f>
        <v>90</v>
      </c>
      <c r="H186" s="185" t="s">
        <v>152</v>
      </c>
      <c r="I186" s="186"/>
      <c r="J186" s="186"/>
      <c r="K186" s="186" t="s">
        <v>153</v>
      </c>
      <c r="L186" s="186"/>
      <c r="M186" s="187"/>
      <c r="S186" s="4"/>
    </row>
    <row r="187" spans="1:19" ht="12.75" customHeight="1" x14ac:dyDescent="0.2">
      <c r="A187" s="138" t="s">
        <v>104</v>
      </c>
      <c r="B187" s="106"/>
      <c r="C187" s="139"/>
      <c r="D187" s="140"/>
      <c r="E187" s="141"/>
      <c r="F187" s="92"/>
      <c r="S187" s="4"/>
    </row>
    <row r="188" spans="1:19" ht="12.75" customHeight="1" x14ac:dyDescent="0.2">
      <c r="A188" s="40"/>
      <c r="B188" s="40"/>
      <c r="C188" s="225" t="s">
        <v>125</v>
      </c>
      <c r="D188" s="226" t="s">
        <v>105</v>
      </c>
      <c r="E188" s="54" t="s">
        <v>240</v>
      </c>
      <c r="G188" s="20"/>
      <c r="S188" s="4"/>
    </row>
    <row r="189" spans="1:19" ht="12.75" customHeight="1" x14ac:dyDescent="0.2">
      <c r="A189" s="266" t="s">
        <v>45</v>
      </c>
      <c r="B189" s="267"/>
      <c r="C189" s="167">
        <v>1.5</v>
      </c>
      <c r="D189" s="90">
        <v>25</v>
      </c>
      <c r="E189" s="245">
        <f>C189*D189</f>
        <v>37.5</v>
      </c>
      <c r="S189" s="4"/>
    </row>
    <row r="190" spans="1:19" ht="12.75" customHeight="1" x14ac:dyDescent="0.2">
      <c r="A190" s="40"/>
      <c r="B190" s="40"/>
      <c r="C190" s="42"/>
      <c r="D190" s="43"/>
      <c r="E190" s="10"/>
      <c r="S190" s="4"/>
    </row>
    <row r="191" spans="1:19" ht="12.75" customHeight="1" x14ac:dyDescent="0.2">
      <c r="A191" s="106"/>
      <c r="B191" s="112"/>
      <c r="C191" s="107"/>
      <c r="D191" s="108"/>
      <c r="E191" s="142"/>
      <c r="F191" s="92"/>
    </row>
    <row r="192" spans="1:19" ht="12.75" customHeight="1" x14ac:dyDescent="0.2">
      <c r="A192" s="33" t="s">
        <v>113</v>
      </c>
      <c r="C192" s="231">
        <v>7.4999999999999997E-2</v>
      </c>
      <c r="E192" s="241">
        <f>(C192*0.67)*(E116+(0.2*E130))</f>
        <v>27.310875000000003</v>
      </c>
      <c r="G192" s="86" t="s">
        <v>59</v>
      </c>
      <c r="H192" s="87"/>
      <c r="I192" s="87"/>
      <c r="J192" s="87"/>
      <c r="K192" s="87"/>
      <c r="L192" s="88"/>
    </row>
    <row r="193" spans="1:13" ht="12.75" customHeight="1" x14ac:dyDescent="0.2">
      <c r="A193" s="15"/>
      <c r="E193" s="6"/>
      <c r="G193" s="4"/>
      <c r="H193" s="4"/>
      <c r="I193" s="45"/>
      <c r="J193" s="45"/>
      <c r="K193" s="4"/>
      <c r="L193" s="45"/>
      <c r="M193" s="45"/>
    </row>
    <row r="194" spans="1:13" ht="12.75" customHeight="1" x14ac:dyDescent="0.2">
      <c r="A194" s="33" t="s">
        <v>85</v>
      </c>
      <c r="B194" s="4"/>
      <c r="C194" s="44"/>
      <c r="D194" s="43"/>
      <c r="E194" s="243">
        <f>E18*0.05</f>
        <v>45</v>
      </c>
    </row>
    <row r="195" spans="1:13" ht="12.75" customHeight="1" x14ac:dyDescent="0.2">
      <c r="A195" s="20" t="s">
        <v>231</v>
      </c>
      <c r="C195" s="16"/>
      <c r="E195" s="243">
        <f>E116+E130+E177+E180+E181+E182+E184+E189+E192</f>
        <v>1126.8647211538459</v>
      </c>
    </row>
    <row r="196" spans="1:13" ht="12.75" customHeight="1" x14ac:dyDescent="0.2">
      <c r="A196" s="20" t="s">
        <v>230</v>
      </c>
      <c r="D196" s="16"/>
      <c r="E196" s="243">
        <f>E18-E195</f>
        <v>-226.86472115384595</v>
      </c>
    </row>
    <row r="197" spans="1:13" ht="14.25" x14ac:dyDescent="0.2">
      <c r="A197" s="21"/>
      <c r="C197" s="54"/>
      <c r="D197" s="54"/>
      <c r="E197" s="55"/>
    </row>
    <row r="198" spans="1:13" x14ac:dyDescent="0.2">
      <c r="A198" s="33" t="s">
        <v>218</v>
      </c>
      <c r="B198" s="4"/>
      <c r="C198" s="42"/>
      <c r="D198" s="53"/>
      <c r="E198" s="252">
        <f>E195/(C14+C15)</f>
        <v>93.905393429487162</v>
      </c>
    </row>
    <row r="199" spans="1:13" x14ac:dyDescent="0.2">
      <c r="A199" s="20" t="s">
        <v>219</v>
      </c>
      <c r="B199" s="4"/>
      <c r="E199" s="243">
        <f>E195/(C16+C17)</f>
        <v>234.76348357371788</v>
      </c>
    </row>
    <row r="200" spans="1:13" x14ac:dyDescent="0.2">
      <c r="B200" s="4"/>
    </row>
    <row r="201" spans="1:13" x14ac:dyDescent="0.2">
      <c r="C201" s="355" t="s">
        <v>26</v>
      </c>
      <c r="D201" s="356"/>
      <c r="E201" s="356"/>
      <c r="F201" s="356"/>
      <c r="G201" s="357"/>
    </row>
    <row r="202" spans="1:13" x14ac:dyDescent="0.2">
      <c r="C202" s="74"/>
      <c r="D202" s="75"/>
      <c r="E202" s="75"/>
      <c r="F202" s="75"/>
      <c r="G202" s="76"/>
    </row>
    <row r="203" spans="1:13" x14ac:dyDescent="0.2">
      <c r="C203" s="355" t="s">
        <v>18</v>
      </c>
      <c r="D203" s="356"/>
      <c r="E203" s="356"/>
      <c r="F203" s="356"/>
      <c r="G203" s="357"/>
    </row>
    <row r="204" spans="1:13" x14ac:dyDescent="0.2">
      <c r="A204" s="358" t="s">
        <v>24</v>
      </c>
      <c r="B204" s="359"/>
      <c r="C204" s="23"/>
      <c r="D204" s="23"/>
      <c r="E204" s="23"/>
      <c r="F204" s="23"/>
      <c r="G204" s="23"/>
    </row>
    <row r="205" spans="1:13" x14ac:dyDescent="0.2">
      <c r="A205" s="258" t="s">
        <v>27</v>
      </c>
      <c r="B205" s="259" t="s">
        <v>302</v>
      </c>
      <c r="C205" s="355" t="s">
        <v>26</v>
      </c>
      <c r="D205" s="356"/>
      <c r="E205" s="356"/>
      <c r="F205" s="356"/>
      <c r="G205" s="357"/>
    </row>
    <row r="206" spans="1:13" x14ac:dyDescent="0.2">
      <c r="A206" s="24" t="s">
        <v>21</v>
      </c>
      <c r="B206" s="349">
        <f>C14*1.2</f>
        <v>14.399999999999999</v>
      </c>
      <c r="C206" s="347">
        <f t="shared" ref="C206:G210" si="10">((C$211*$B206)+$E$15)-$E$195</f>
        <v>-262.86472115384606</v>
      </c>
      <c r="D206" s="347">
        <f t="shared" si="10"/>
        <v>-154.86472115384606</v>
      </c>
      <c r="E206" s="347">
        <f t="shared" si="10"/>
        <v>-46.864721153845949</v>
      </c>
      <c r="F206" s="347">
        <f t="shared" si="10"/>
        <v>61.135278846153824</v>
      </c>
      <c r="G206" s="347">
        <f t="shared" si="10"/>
        <v>169.13527884615382</v>
      </c>
    </row>
    <row r="207" spans="1:13" x14ac:dyDescent="0.2">
      <c r="A207" s="24" t="s">
        <v>20</v>
      </c>
      <c r="B207" s="349">
        <f>C14*1.1</f>
        <v>13.200000000000001</v>
      </c>
      <c r="C207" s="347">
        <f t="shared" si="10"/>
        <v>-334.86472115384584</v>
      </c>
      <c r="D207" s="347">
        <f t="shared" si="10"/>
        <v>-235.86472115384584</v>
      </c>
      <c r="E207" s="347">
        <f t="shared" si="10"/>
        <v>-136.86472115384584</v>
      </c>
      <c r="F207" s="347">
        <f t="shared" si="10"/>
        <v>-37.864721153845949</v>
      </c>
      <c r="G207" s="347">
        <f t="shared" si="10"/>
        <v>61.135278846154051</v>
      </c>
    </row>
    <row r="208" spans="1:13" x14ac:dyDescent="0.2">
      <c r="A208" s="22"/>
      <c r="B208" s="349">
        <f>C14</f>
        <v>12</v>
      </c>
      <c r="C208" s="347">
        <f t="shared" si="10"/>
        <v>-406.86472115384595</v>
      </c>
      <c r="D208" s="347">
        <f t="shared" si="10"/>
        <v>-316.86472115384595</v>
      </c>
      <c r="E208" s="348">
        <f t="shared" si="10"/>
        <v>-226.86472115384595</v>
      </c>
      <c r="F208" s="347">
        <f t="shared" si="10"/>
        <v>-136.86472115384595</v>
      </c>
      <c r="G208" s="347">
        <f t="shared" si="10"/>
        <v>-46.864721153845949</v>
      </c>
    </row>
    <row r="209" spans="1:7" x14ac:dyDescent="0.2">
      <c r="A209" s="24" t="s">
        <v>22</v>
      </c>
      <c r="B209" s="349">
        <f>C14*0.9</f>
        <v>10.8</v>
      </c>
      <c r="C209" s="347">
        <f t="shared" si="10"/>
        <v>-478.86472115384595</v>
      </c>
      <c r="D209" s="347">
        <f t="shared" si="10"/>
        <v>-397.86472115384595</v>
      </c>
      <c r="E209" s="347">
        <f t="shared" si="10"/>
        <v>-316.86472115384595</v>
      </c>
      <c r="F209" s="347">
        <f t="shared" si="10"/>
        <v>-235.86472115384584</v>
      </c>
      <c r="G209" s="347">
        <f t="shared" si="10"/>
        <v>-154.86472115384584</v>
      </c>
    </row>
    <row r="210" spans="1:7" x14ac:dyDescent="0.2">
      <c r="A210" s="24" t="s">
        <v>23</v>
      </c>
      <c r="B210" s="349">
        <f>C14*0.8</f>
        <v>9.6000000000000014</v>
      </c>
      <c r="C210" s="347">
        <f t="shared" si="10"/>
        <v>-550.86472115384584</v>
      </c>
      <c r="D210" s="347">
        <f t="shared" si="10"/>
        <v>-478.86472115384584</v>
      </c>
      <c r="E210" s="347">
        <f t="shared" si="10"/>
        <v>-406.86472115384584</v>
      </c>
      <c r="F210" s="347">
        <f t="shared" si="10"/>
        <v>-334.86472115384584</v>
      </c>
      <c r="G210" s="347">
        <f t="shared" si="10"/>
        <v>-262.86472115384584</v>
      </c>
    </row>
    <row r="211" spans="1:7" x14ac:dyDescent="0.2">
      <c r="A211" s="257" t="s">
        <v>414</v>
      </c>
      <c r="B211" s="253"/>
      <c r="C211" s="254">
        <f>D14*0.8</f>
        <v>60</v>
      </c>
      <c r="D211" s="254">
        <f>D14*0.9</f>
        <v>67.5</v>
      </c>
      <c r="E211" s="254">
        <f>D14</f>
        <v>75</v>
      </c>
      <c r="F211" s="254">
        <f>D14*1.1</f>
        <v>82.5</v>
      </c>
      <c r="G211" s="254">
        <f>D14*1.2</f>
        <v>90</v>
      </c>
    </row>
    <row r="212" spans="1:7" x14ac:dyDescent="0.2">
      <c r="A212" s="257" t="s">
        <v>19</v>
      </c>
      <c r="B212" s="253"/>
      <c r="C212" s="255" t="s">
        <v>23</v>
      </c>
      <c r="D212" s="255" t="s">
        <v>22</v>
      </c>
      <c r="E212" s="256"/>
      <c r="F212" s="255" t="s">
        <v>20</v>
      </c>
      <c r="G212" s="255" t="s">
        <v>21</v>
      </c>
    </row>
  </sheetData>
  <sheetProtection algorithmName="SHA-512" hashValue="/JxWuiR7MHsS77qjdD2Dk/efqNGbGtJyNZ6G3pvMcevIj9LR/Fx/g+ts1FVy5/aOTsQkJrJ8BqTRXcwVV+z22A==" saltValue="8UogIps8W8xFOEkraZLeRw==" spinCount="100000" sheet="1" objects="1" scenarios="1"/>
  <mergeCells count="4">
    <mergeCell ref="C201:G201"/>
    <mergeCell ref="C203:G203"/>
    <mergeCell ref="A204:B204"/>
    <mergeCell ref="C205:G205"/>
  </mergeCells>
  <hyperlinks>
    <hyperlink ref="H134" r:id="rId1" xr:uid="{00000000-0004-0000-0B00-000000000000}"/>
    <hyperlink ref="H141" r:id="rId2" xr:uid="{00000000-0004-0000-0B00-000001000000}"/>
    <hyperlink ref="H135" r:id="rId3" xr:uid="{00000000-0004-0000-0B00-000002000000}"/>
    <hyperlink ref="H138" r:id="rId4" xr:uid="{00000000-0004-0000-0B00-000003000000}"/>
  </hyperlinks>
  <pageMargins left="0.7" right="0.7" top="0.75" bottom="0.75" header="0.3" footer="0.3"/>
  <pageSetup scale="40" fitToHeight="0" orientation="portrait" verticalDpi="0" r:id="rId5"/>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S212"/>
  <sheetViews>
    <sheetView zoomScale="93" zoomScaleNormal="93" workbookViewId="0">
      <selection activeCell="E14" sqref="E14"/>
    </sheetView>
  </sheetViews>
  <sheetFormatPr defaultColWidth="8.42578125" defaultRowHeight="12.75" x14ac:dyDescent="0.2"/>
  <cols>
    <col min="1" max="1" width="26.7109375" customWidth="1"/>
    <col min="2" max="2" width="17.85546875" customWidth="1"/>
    <col min="3" max="3" width="17.42578125" customWidth="1"/>
    <col min="4" max="4" width="15.140625" customWidth="1"/>
    <col min="5" max="5" width="11.28515625" customWidth="1"/>
    <col min="6" max="6" width="11" customWidth="1"/>
    <col min="7" max="7" width="13.42578125" customWidth="1"/>
    <col min="8" max="9" width="7.42578125" customWidth="1"/>
    <col min="10" max="10" width="8.42578125" customWidth="1"/>
    <col min="11" max="11" width="8" customWidth="1"/>
    <col min="12" max="12" width="13.7109375" customWidth="1"/>
  </cols>
  <sheetData>
    <row r="1" spans="1:14" ht="15.75" customHeight="1" x14ac:dyDescent="0.2">
      <c r="A1" s="20" t="s">
        <v>29</v>
      </c>
      <c r="E1" s="36"/>
    </row>
    <row r="2" spans="1:14" ht="8.25" customHeight="1" x14ac:dyDescent="0.2"/>
    <row r="3" spans="1:14" ht="15" customHeight="1" x14ac:dyDescent="0.2"/>
    <row r="4" spans="1:14" ht="8.25" customHeight="1" x14ac:dyDescent="0.2"/>
    <row r="5" spans="1:14" ht="18.75" customHeight="1" x14ac:dyDescent="0.25">
      <c r="A5" s="2" t="s">
        <v>342</v>
      </c>
      <c r="D5" s="19"/>
      <c r="E5" s="197"/>
    </row>
    <row r="6" spans="1:14" ht="5.25" customHeight="1" x14ac:dyDescent="0.2"/>
    <row r="7" spans="1:14" x14ac:dyDescent="0.2">
      <c r="A7" s="17" t="s">
        <v>83</v>
      </c>
      <c r="E7" s="67"/>
      <c r="I7" s="38"/>
    </row>
    <row r="8" spans="1:14" x14ac:dyDescent="0.2">
      <c r="A8" s="17" t="s">
        <v>228</v>
      </c>
      <c r="E8" s="242"/>
    </row>
    <row r="9" spans="1:14" x14ac:dyDescent="0.2">
      <c r="A9" s="17" t="s">
        <v>71</v>
      </c>
      <c r="E9" s="79"/>
    </row>
    <row r="10" spans="1:14" x14ac:dyDescent="0.2">
      <c r="A10" s="17"/>
      <c r="E10" s="3"/>
    </row>
    <row r="11" spans="1:14" ht="18" x14ac:dyDescent="0.25">
      <c r="A11" s="2" t="s">
        <v>343</v>
      </c>
      <c r="B11" s="345" t="s">
        <v>425</v>
      </c>
      <c r="C11" s="329"/>
    </row>
    <row r="12" spans="1:14" x14ac:dyDescent="0.2">
      <c r="A12" s="119" t="s">
        <v>37</v>
      </c>
      <c r="B12" s="117"/>
      <c r="C12" s="118"/>
      <c r="D12" s="117"/>
      <c r="E12" s="117"/>
      <c r="F12" s="92"/>
    </row>
    <row r="13" spans="1:14" x14ac:dyDescent="0.2">
      <c r="A13" s="17"/>
      <c r="B13" s="7" t="s">
        <v>306</v>
      </c>
      <c r="C13" s="54" t="s">
        <v>307</v>
      </c>
      <c r="D13" s="7" t="s">
        <v>239</v>
      </c>
      <c r="E13" s="7" t="s">
        <v>236</v>
      </c>
      <c r="H13" s="17" t="s">
        <v>170</v>
      </c>
      <c r="I13" s="17"/>
      <c r="J13" s="17"/>
      <c r="K13" s="17"/>
    </row>
    <row r="14" spans="1:14" x14ac:dyDescent="0.2">
      <c r="A14" s="20" t="s">
        <v>216</v>
      </c>
      <c r="B14" s="275">
        <v>0.65</v>
      </c>
      <c r="C14" s="167">
        <v>6.5</v>
      </c>
      <c r="D14" s="124">
        <v>55</v>
      </c>
      <c r="E14" s="241">
        <f>C14*D14</f>
        <v>357.5</v>
      </c>
      <c r="H14" s="20" t="s">
        <v>186</v>
      </c>
      <c r="L14" s="124">
        <v>165</v>
      </c>
      <c r="N14" s="20" t="s">
        <v>187</v>
      </c>
    </row>
    <row r="15" spans="1:14" x14ac:dyDescent="0.2">
      <c r="A15" s="20" t="s">
        <v>217</v>
      </c>
      <c r="B15" s="275">
        <v>0</v>
      </c>
      <c r="C15" s="167">
        <v>0</v>
      </c>
      <c r="D15" s="124">
        <v>0</v>
      </c>
      <c r="E15" s="241">
        <f>C15*D15</f>
        <v>0</v>
      </c>
      <c r="H15" s="20" t="s">
        <v>184</v>
      </c>
      <c r="L15" s="330">
        <v>0.5</v>
      </c>
    </row>
    <row r="16" spans="1:14" x14ac:dyDescent="0.2">
      <c r="A16" s="20" t="s">
        <v>214</v>
      </c>
      <c r="C16" s="299">
        <f>C14*(1-B14)</f>
        <v>2.2749999999999999</v>
      </c>
      <c r="E16" s="232"/>
      <c r="H16" s="20" t="s">
        <v>185</v>
      </c>
      <c r="L16" s="241">
        <f>(L14/0.87)*(1-L15)</f>
        <v>94.827586206896555</v>
      </c>
    </row>
    <row r="17" spans="1:18" x14ac:dyDescent="0.2">
      <c r="A17" s="20" t="s">
        <v>215</v>
      </c>
      <c r="C17" s="299">
        <f>C15*(1-B15)</f>
        <v>0</v>
      </c>
      <c r="E17" s="232"/>
      <c r="H17" s="20"/>
      <c r="L17" s="233"/>
    </row>
    <row r="18" spans="1:18" x14ac:dyDescent="0.2">
      <c r="A18" s="152" t="s">
        <v>199</v>
      </c>
      <c r="B18" s="159"/>
      <c r="C18" s="157"/>
      <c r="D18" s="159"/>
      <c r="E18" s="243">
        <f>SUM(E14:E15)</f>
        <v>357.5</v>
      </c>
    </row>
    <row r="19" spans="1:18" x14ac:dyDescent="0.2">
      <c r="A19" s="119" t="s">
        <v>40</v>
      </c>
      <c r="B19" s="120"/>
      <c r="C19" s="121"/>
      <c r="D19" s="120"/>
      <c r="E19" s="120"/>
      <c r="F19" s="122"/>
    </row>
    <row r="20" spans="1:18" ht="12" customHeight="1" x14ac:dyDescent="0.2">
      <c r="A20" s="17"/>
      <c r="B20" s="4"/>
      <c r="C20" s="3"/>
      <c r="D20" s="4"/>
      <c r="E20" s="4"/>
    </row>
    <row r="21" spans="1:18" x14ac:dyDescent="0.2">
      <c r="A21" s="111" t="s">
        <v>4</v>
      </c>
      <c r="B21" s="92"/>
      <c r="C21" s="112"/>
      <c r="D21" s="112"/>
      <c r="E21" s="112"/>
      <c r="F21" s="92"/>
    </row>
    <row r="22" spans="1:18" ht="15" customHeight="1" x14ac:dyDescent="0.2">
      <c r="A22" s="98" t="s">
        <v>88</v>
      </c>
      <c r="B22" s="99"/>
      <c r="C22" s="100"/>
      <c r="D22" s="100"/>
      <c r="E22" s="100"/>
      <c r="F22" s="97"/>
      <c r="H22" s="17"/>
      <c r="J22" s="17"/>
      <c r="M22" s="20"/>
    </row>
    <row r="23" spans="1:18" x14ac:dyDescent="0.2">
      <c r="A23" s="33"/>
      <c r="B23" s="7" t="s">
        <v>237</v>
      </c>
      <c r="C23" s="7" t="s">
        <v>238</v>
      </c>
      <c r="D23" s="7" t="s">
        <v>239</v>
      </c>
      <c r="E23" s="7" t="s">
        <v>240</v>
      </c>
      <c r="G23" s="65"/>
      <c r="H23" s="17"/>
      <c r="J23" s="17"/>
      <c r="K23" s="17"/>
      <c r="M23" s="20"/>
    </row>
    <row r="24" spans="1:18" x14ac:dyDescent="0.2">
      <c r="A24" s="39" t="s">
        <v>303</v>
      </c>
      <c r="B24" s="207"/>
      <c r="C24" s="78">
        <v>0</v>
      </c>
      <c r="D24" s="90">
        <v>0</v>
      </c>
      <c r="E24" s="244">
        <f>((D24/2000)*B24*C24)</f>
        <v>0</v>
      </c>
      <c r="G24" s="48"/>
      <c r="H24" s="6"/>
      <c r="I24" s="48"/>
      <c r="J24" s="6"/>
      <c r="O24" s="20"/>
      <c r="P24" s="20"/>
      <c r="Q24" s="20"/>
      <c r="R24" s="20"/>
    </row>
    <row r="25" spans="1:18" x14ac:dyDescent="0.2">
      <c r="A25" s="39"/>
      <c r="B25" s="40"/>
      <c r="C25" s="47"/>
      <c r="D25" s="10"/>
      <c r="E25" s="46"/>
      <c r="G25" s="48"/>
      <c r="H25" s="6"/>
      <c r="I25" s="48"/>
      <c r="J25" s="6"/>
      <c r="O25" s="20"/>
      <c r="P25" s="20"/>
      <c r="Q25" s="20"/>
      <c r="R25" s="20"/>
    </row>
    <row r="26" spans="1:18" x14ac:dyDescent="0.2">
      <c r="A26" s="33"/>
      <c r="C26" s="7" t="s">
        <v>87</v>
      </c>
      <c r="D26" s="7" t="s">
        <v>239</v>
      </c>
      <c r="E26" s="7" t="s">
        <v>240</v>
      </c>
      <c r="G26" s="65"/>
      <c r="H26" s="17"/>
      <c r="J26" s="17"/>
      <c r="K26" s="17"/>
      <c r="M26" s="20"/>
    </row>
    <row r="27" spans="1:18" x14ac:dyDescent="0.2">
      <c r="A27" s="208" t="s">
        <v>171</v>
      </c>
      <c r="B27" s="4"/>
      <c r="C27" s="68">
        <v>50</v>
      </c>
      <c r="D27" s="90">
        <v>520</v>
      </c>
      <c r="E27" s="245">
        <f>C27*(D27/2000)</f>
        <v>13</v>
      </c>
      <c r="G27" s="5"/>
      <c r="H27" s="1"/>
      <c r="J27" s="56"/>
    </row>
    <row r="28" spans="1:18" x14ac:dyDescent="0.2">
      <c r="A28" s="208" t="s">
        <v>66</v>
      </c>
      <c r="B28" s="4"/>
      <c r="C28" s="77"/>
      <c r="D28" s="90">
        <v>0</v>
      </c>
      <c r="E28" s="246">
        <f>C28*(D28/2000)</f>
        <v>0</v>
      </c>
      <c r="G28" s="5"/>
      <c r="H28" s="1"/>
      <c r="J28" s="56"/>
    </row>
    <row r="29" spans="1:18" x14ac:dyDescent="0.2">
      <c r="A29" s="209" t="s">
        <v>66</v>
      </c>
      <c r="B29" s="4"/>
      <c r="C29" s="77"/>
      <c r="D29" s="193"/>
      <c r="E29" s="246">
        <f>C29*(D29/2000)</f>
        <v>0</v>
      </c>
      <c r="G29" s="5"/>
      <c r="H29" s="1"/>
      <c r="J29" s="56"/>
    </row>
    <row r="30" spans="1:18" x14ac:dyDescent="0.2">
      <c r="A30" s="208"/>
      <c r="B30" s="4"/>
      <c r="C30" s="68"/>
      <c r="D30" s="90"/>
      <c r="E30" s="245">
        <f>C30*(D30/2000)</f>
        <v>0</v>
      </c>
      <c r="G30" s="5"/>
      <c r="H30" s="1"/>
      <c r="J30" s="56"/>
    </row>
    <row r="31" spans="1:18" x14ac:dyDescent="0.2">
      <c r="A31" s="94"/>
      <c r="B31" s="4"/>
      <c r="C31" s="42"/>
      <c r="D31" s="93"/>
      <c r="E31" s="93"/>
      <c r="G31" s="5"/>
      <c r="H31" s="1"/>
      <c r="J31" s="56"/>
    </row>
    <row r="32" spans="1:18" ht="14.25" customHeight="1" x14ac:dyDescent="0.2">
      <c r="A32" s="95" t="s">
        <v>135</v>
      </c>
      <c r="B32" s="96"/>
      <c r="C32" s="160"/>
      <c r="D32" s="161"/>
      <c r="E32" s="161"/>
      <c r="F32" s="97"/>
    </row>
    <row r="33" spans="1:12" ht="14.25" customHeight="1" x14ac:dyDescent="0.2">
      <c r="A33" s="48" t="s">
        <v>304</v>
      </c>
      <c r="C33" s="219" t="s">
        <v>68</v>
      </c>
      <c r="D33" s="7" t="s">
        <v>69</v>
      </c>
      <c r="E33" s="7" t="s">
        <v>240</v>
      </c>
    </row>
    <row r="34" spans="1:12" ht="14.25" customHeight="1" x14ac:dyDescent="0.2">
      <c r="A34" s="201" t="s">
        <v>14</v>
      </c>
      <c r="B34" s="40"/>
      <c r="C34" s="68">
        <v>88</v>
      </c>
      <c r="D34" s="90">
        <v>0.6</v>
      </c>
      <c r="E34" s="245">
        <f>C34*D34</f>
        <v>52.8</v>
      </c>
    </row>
    <row r="35" spans="1:12" ht="14.25" customHeight="1" x14ac:dyDescent="0.2">
      <c r="A35" s="220" t="s">
        <v>15</v>
      </c>
      <c r="B35" s="4"/>
      <c r="C35" s="68"/>
      <c r="D35" s="90"/>
      <c r="E35" s="245">
        <f t="shared" ref="E35:E37" si="0">C35*D35</f>
        <v>0</v>
      </c>
    </row>
    <row r="36" spans="1:12" ht="13.5" customHeight="1" x14ac:dyDescent="0.2">
      <c r="A36" s="220" t="s">
        <v>16</v>
      </c>
      <c r="B36" s="4"/>
      <c r="C36" s="68"/>
      <c r="D36" s="90"/>
      <c r="E36" s="245">
        <f t="shared" si="0"/>
        <v>0</v>
      </c>
      <c r="G36" s="72"/>
      <c r="H36" s="16"/>
      <c r="I36" s="16"/>
      <c r="J36" s="7"/>
      <c r="K36" s="17"/>
      <c r="L36" s="17"/>
    </row>
    <row r="37" spans="1:12" ht="14.25" customHeight="1" x14ac:dyDescent="0.2">
      <c r="A37" s="221" t="s">
        <v>17</v>
      </c>
      <c r="B37" s="4"/>
      <c r="C37" s="68"/>
      <c r="D37" s="90"/>
      <c r="E37" s="246">
        <f t="shared" si="0"/>
        <v>0</v>
      </c>
      <c r="G37" s="5"/>
      <c r="H37" s="6"/>
      <c r="I37" s="6"/>
      <c r="J37" s="6"/>
      <c r="K37" s="6"/>
    </row>
    <row r="38" spans="1:12" ht="14.25" customHeight="1" x14ac:dyDescent="0.2">
      <c r="A38" s="199" t="s">
        <v>86</v>
      </c>
      <c r="B38" s="4"/>
      <c r="C38" s="42"/>
      <c r="D38" s="93"/>
      <c r="E38" s="210">
        <v>0</v>
      </c>
      <c r="G38" s="5"/>
      <c r="H38" s="6"/>
      <c r="I38" s="6"/>
      <c r="J38" s="6"/>
      <c r="K38" s="6"/>
    </row>
    <row r="39" spans="1:12" ht="14.25" customHeight="1" x14ac:dyDescent="0.2">
      <c r="A39" s="82" t="s">
        <v>136</v>
      </c>
      <c r="B39" s="81"/>
      <c r="C39" s="42"/>
      <c r="D39" s="93"/>
      <c r="E39" s="90">
        <v>0</v>
      </c>
      <c r="G39" s="5"/>
      <c r="H39" s="6"/>
      <c r="I39" s="6"/>
      <c r="J39" s="6"/>
      <c r="K39" s="6"/>
    </row>
    <row r="40" spans="1:12" ht="14.25" x14ac:dyDescent="0.25">
      <c r="A40" s="32"/>
      <c r="B40" s="4"/>
      <c r="C40" s="7" t="s">
        <v>193</v>
      </c>
      <c r="D40" s="223" t="s">
        <v>265</v>
      </c>
      <c r="E40" s="46"/>
      <c r="G40" s="65"/>
      <c r="I40" s="6"/>
    </row>
    <row r="41" spans="1:12" x14ac:dyDescent="0.2">
      <c r="A41" s="94" t="s">
        <v>192</v>
      </c>
      <c r="C41" s="68">
        <v>22</v>
      </c>
      <c r="D41" s="210">
        <v>0.81</v>
      </c>
      <c r="E41" s="247">
        <f t="shared" ref="E41" si="1">C41*D41</f>
        <v>17.82</v>
      </c>
      <c r="G41" s="48"/>
      <c r="H41" s="6"/>
    </row>
    <row r="42" spans="1:12" ht="14.25" customHeight="1" x14ac:dyDescent="0.25">
      <c r="A42" s="39"/>
      <c r="B42" s="4"/>
      <c r="C42" s="7" t="s">
        <v>194</v>
      </c>
      <c r="D42" s="223" t="s">
        <v>264</v>
      </c>
      <c r="E42" s="46"/>
      <c r="G42" s="5"/>
      <c r="H42" s="6"/>
      <c r="K42" s="17"/>
    </row>
    <row r="43" spans="1:12" ht="14.25" customHeight="1" x14ac:dyDescent="0.2">
      <c r="A43" s="222" t="s">
        <v>13</v>
      </c>
      <c r="C43" s="68">
        <v>88</v>
      </c>
      <c r="D43" s="90">
        <v>0.43</v>
      </c>
      <c r="E43" s="245">
        <f>C43*D43</f>
        <v>37.839999999999996</v>
      </c>
      <c r="G43" s="72"/>
      <c r="H43" s="16"/>
      <c r="I43" s="73"/>
      <c r="J43" s="73"/>
      <c r="K43" s="7"/>
      <c r="L43" s="7"/>
    </row>
    <row r="44" spans="1:12" ht="14.25" customHeight="1" x14ac:dyDescent="0.2">
      <c r="C44" s="12"/>
      <c r="G44" s="5"/>
      <c r="H44" s="1"/>
      <c r="I44" s="1"/>
      <c r="J44" s="1"/>
      <c r="K44" s="1"/>
      <c r="L44" s="1"/>
    </row>
    <row r="45" spans="1:12" ht="14.25" customHeight="1" x14ac:dyDescent="0.2">
      <c r="A45" s="199" t="s">
        <v>133</v>
      </c>
      <c r="B45" s="4"/>
      <c r="C45" s="9"/>
      <c r="D45" s="10"/>
      <c r="E45" s="90">
        <v>0</v>
      </c>
      <c r="G45" s="5"/>
      <c r="H45" s="6"/>
      <c r="I45" s="6"/>
      <c r="J45" s="6"/>
      <c r="K45" s="6"/>
      <c r="L45" s="6"/>
    </row>
    <row r="46" spans="1:12" ht="14.25" customHeight="1" x14ac:dyDescent="0.2">
      <c r="A46" s="166"/>
      <c r="B46" s="4"/>
      <c r="C46" s="9"/>
      <c r="D46" s="10"/>
      <c r="E46" s="102"/>
      <c r="G46" s="5"/>
      <c r="H46" s="6"/>
      <c r="I46" s="6"/>
      <c r="J46" s="6"/>
      <c r="K46" s="6"/>
      <c r="L46" s="6"/>
    </row>
    <row r="47" spans="1:12" ht="14.25" customHeight="1" x14ac:dyDescent="0.2">
      <c r="A47" s="199" t="s">
        <v>7</v>
      </c>
      <c r="B47" s="4"/>
      <c r="C47" s="9"/>
      <c r="D47" s="10"/>
      <c r="E47" s="90">
        <v>0</v>
      </c>
      <c r="G47" s="5"/>
      <c r="H47" s="6"/>
      <c r="I47" s="6"/>
      <c r="J47" s="6"/>
      <c r="K47" s="6"/>
      <c r="L47" s="6"/>
    </row>
    <row r="48" spans="1:12" ht="14.25" customHeight="1" x14ac:dyDescent="0.2">
      <c r="A48" s="199"/>
      <c r="B48" s="4"/>
      <c r="C48" s="9"/>
      <c r="D48" s="10"/>
      <c r="E48" s="90">
        <v>0</v>
      </c>
      <c r="G48" s="5"/>
      <c r="H48" s="6"/>
      <c r="I48" s="6"/>
      <c r="J48" s="6"/>
      <c r="K48" s="6"/>
      <c r="L48" s="6"/>
    </row>
    <row r="49" spans="1:12" ht="14.25" customHeight="1" x14ac:dyDescent="0.2">
      <c r="A49" s="199"/>
      <c r="B49" s="4"/>
      <c r="C49" s="9"/>
      <c r="D49" s="10"/>
      <c r="E49" s="90">
        <v>0</v>
      </c>
      <c r="G49" s="5"/>
      <c r="H49" s="6"/>
      <c r="I49" s="6"/>
      <c r="J49" s="6"/>
      <c r="K49" s="6"/>
      <c r="L49" s="6"/>
    </row>
    <row r="50" spans="1:12" ht="14.25" customHeight="1" x14ac:dyDescent="0.2">
      <c r="A50" s="33" t="s">
        <v>247</v>
      </c>
      <c r="B50" s="101"/>
      <c r="C50" s="219" t="s">
        <v>72</v>
      </c>
      <c r="D50" s="54" t="s">
        <v>255</v>
      </c>
      <c r="E50" s="10"/>
      <c r="G50" s="5"/>
      <c r="H50" s="6"/>
      <c r="I50" s="6"/>
      <c r="J50" s="6"/>
      <c r="K50" s="6"/>
      <c r="L50" s="6"/>
    </row>
    <row r="51" spans="1:12" ht="14.25" customHeight="1" x14ac:dyDescent="0.2">
      <c r="A51" s="199" t="s">
        <v>89</v>
      </c>
      <c r="B51" s="4"/>
      <c r="C51" s="68">
        <v>2</v>
      </c>
      <c r="D51" s="90">
        <v>9</v>
      </c>
      <c r="E51" s="245">
        <f>D51*C51</f>
        <v>18</v>
      </c>
      <c r="G51" s="5"/>
      <c r="H51" s="6"/>
      <c r="I51" s="6"/>
      <c r="J51" s="6"/>
      <c r="K51" s="6"/>
      <c r="L51" s="6"/>
    </row>
    <row r="52" spans="1:12" ht="14.25" customHeight="1" x14ac:dyDescent="0.2">
      <c r="A52" s="199"/>
      <c r="B52" s="4"/>
      <c r="C52" s="68"/>
      <c r="D52" s="90"/>
      <c r="E52" s="245">
        <f t="shared" ref="E52:E53" si="2">D52*C52</f>
        <v>0</v>
      </c>
      <c r="G52" s="5"/>
      <c r="H52" s="6"/>
      <c r="I52" s="6"/>
      <c r="J52" s="6"/>
      <c r="K52" s="6"/>
      <c r="L52" s="6"/>
    </row>
    <row r="53" spans="1:12" ht="14.25" customHeight="1" x14ac:dyDescent="0.2">
      <c r="A53" s="199"/>
      <c r="B53" s="4"/>
      <c r="C53" s="68"/>
      <c r="D53" s="90"/>
      <c r="E53" s="245">
        <f t="shared" si="2"/>
        <v>0</v>
      </c>
      <c r="G53" s="5"/>
      <c r="H53" s="6"/>
      <c r="I53" s="6"/>
      <c r="J53" s="6"/>
      <c r="K53" s="6"/>
      <c r="L53" s="6"/>
    </row>
    <row r="54" spans="1:12" ht="14.25" customHeight="1" x14ac:dyDescent="0.2">
      <c r="A54" s="33"/>
      <c r="B54" s="4"/>
      <c r="C54" s="9"/>
      <c r="D54" s="10"/>
      <c r="E54" s="10"/>
      <c r="G54" s="5"/>
      <c r="H54" s="6"/>
      <c r="I54" s="6"/>
      <c r="J54" s="6"/>
      <c r="K54" s="6"/>
      <c r="L54" s="6"/>
    </row>
    <row r="55" spans="1:12" x14ac:dyDescent="0.2">
      <c r="B55" s="7" t="s">
        <v>262</v>
      </c>
      <c r="C55" s="7" t="s">
        <v>263</v>
      </c>
      <c r="D55" s="54" t="s">
        <v>239</v>
      </c>
      <c r="E55" s="7" t="s">
        <v>240</v>
      </c>
    </row>
    <row r="56" spans="1:12" x14ac:dyDescent="0.2">
      <c r="A56" s="4" t="s">
        <v>80</v>
      </c>
      <c r="B56" s="211">
        <v>3</v>
      </c>
      <c r="C56" s="69">
        <v>0</v>
      </c>
      <c r="D56" s="124">
        <v>29</v>
      </c>
      <c r="E56" s="245">
        <f>(D56*C56)/B56</f>
        <v>0</v>
      </c>
      <c r="H56" s="80"/>
    </row>
    <row r="57" spans="1:12" x14ac:dyDescent="0.2">
      <c r="A57" s="15"/>
      <c r="B57" s="40"/>
      <c r="C57" s="125"/>
      <c r="D57" s="224" t="s">
        <v>240</v>
      </c>
      <c r="E57" s="102"/>
      <c r="H57" s="80"/>
    </row>
    <row r="58" spans="1:12" x14ac:dyDescent="0.2">
      <c r="A58" s="33" t="s">
        <v>98</v>
      </c>
      <c r="B58" s="4"/>
      <c r="C58" s="123"/>
      <c r="D58" s="124">
        <v>0</v>
      </c>
      <c r="E58" s="245">
        <f>D58/B56</f>
        <v>0</v>
      </c>
      <c r="H58" s="80"/>
    </row>
    <row r="59" spans="1:12" x14ac:dyDescent="0.2">
      <c r="A59" s="15"/>
      <c r="B59" s="84"/>
      <c r="C59" s="20"/>
      <c r="D59" s="1"/>
      <c r="E59" s="6"/>
      <c r="H59" s="80"/>
    </row>
    <row r="60" spans="1:12" x14ac:dyDescent="0.2">
      <c r="A60" s="152" t="s">
        <v>197</v>
      </c>
      <c r="B60" s="159"/>
      <c r="C60" s="159"/>
      <c r="D60" s="159"/>
      <c r="E60" s="243">
        <f>SUM(E24:E59)</f>
        <v>139.46</v>
      </c>
      <c r="G60" s="33"/>
      <c r="H60" s="33"/>
    </row>
    <row r="61" spans="1:12" x14ac:dyDescent="0.2">
      <c r="A61" s="111" t="s">
        <v>94</v>
      </c>
      <c r="B61" s="92"/>
      <c r="C61" s="92"/>
      <c r="D61" s="92"/>
      <c r="E61" s="92"/>
      <c r="F61" s="92"/>
      <c r="G61" s="33"/>
      <c r="H61" s="33"/>
    </row>
    <row r="62" spans="1:12" x14ac:dyDescent="0.2">
      <c r="A62" s="20"/>
      <c r="B62" s="1"/>
      <c r="G62" s="33"/>
      <c r="H62" s="33"/>
    </row>
    <row r="63" spans="1:12" x14ac:dyDescent="0.2">
      <c r="A63" s="18"/>
      <c r="B63" s="4"/>
      <c r="C63" s="54" t="s">
        <v>313</v>
      </c>
      <c r="D63" s="54" t="s">
        <v>314</v>
      </c>
      <c r="E63" s="7" t="s">
        <v>240</v>
      </c>
      <c r="G63" s="33"/>
      <c r="H63" s="33"/>
    </row>
    <row r="64" spans="1:12" x14ac:dyDescent="0.2">
      <c r="A64" s="199" t="s">
        <v>408</v>
      </c>
      <c r="B64" s="40"/>
      <c r="C64" s="68">
        <v>120</v>
      </c>
      <c r="D64" s="169">
        <v>17.989999999999998</v>
      </c>
      <c r="E64" s="245">
        <f>((C64/50)*D64)</f>
        <v>43.175999999999995</v>
      </c>
      <c r="G64" s="33"/>
      <c r="H64" s="33"/>
    </row>
    <row r="65" spans="1:8" x14ac:dyDescent="0.2">
      <c r="A65" s="199"/>
      <c r="B65" s="40"/>
      <c r="C65" s="68"/>
      <c r="D65" s="169"/>
      <c r="E65" s="245">
        <f>((C65/50)*D65)</f>
        <v>0</v>
      </c>
      <c r="G65" s="33"/>
      <c r="H65" s="33"/>
    </row>
    <row r="66" spans="1:8" x14ac:dyDescent="0.2">
      <c r="A66" s="199"/>
      <c r="B66" s="40"/>
      <c r="C66" s="68"/>
      <c r="D66" s="169"/>
      <c r="E66" s="245">
        <f>((C66/50)*D66)</f>
        <v>0</v>
      </c>
      <c r="G66" s="33"/>
      <c r="H66" s="33"/>
    </row>
    <row r="67" spans="1:8" x14ac:dyDescent="0.2">
      <c r="A67" s="60"/>
      <c r="B67" s="40"/>
      <c r="C67" s="68"/>
      <c r="D67" s="169"/>
      <c r="E67" s="245">
        <f>((C67/50)*D67)</f>
        <v>0</v>
      </c>
      <c r="G67" s="33"/>
      <c r="H67" s="33"/>
    </row>
    <row r="68" spans="1:8" x14ac:dyDescent="0.2">
      <c r="A68" s="5"/>
      <c r="B68" s="5"/>
      <c r="C68" s="7" t="s">
        <v>298</v>
      </c>
      <c r="D68" s="54" t="s">
        <v>235</v>
      </c>
      <c r="E68" s="7" t="s">
        <v>240</v>
      </c>
    </row>
    <row r="69" spans="1:8" x14ac:dyDescent="0.2">
      <c r="A69" s="48" t="s">
        <v>173</v>
      </c>
      <c r="B69" s="48"/>
      <c r="C69" s="77">
        <v>0</v>
      </c>
      <c r="D69" s="170"/>
      <c r="E69" s="248">
        <f>D69*C69</f>
        <v>0</v>
      </c>
    </row>
    <row r="70" spans="1:8" x14ac:dyDescent="0.2">
      <c r="A70" s="48" t="s">
        <v>81</v>
      </c>
      <c r="B70" s="48"/>
      <c r="C70" s="68"/>
      <c r="D70" s="169"/>
      <c r="E70" s="324">
        <f>D70*C70</f>
        <v>0</v>
      </c>
    </row>
    <row r="71" spans="1:8" x14ac:dyDescent="0.2">
      <c r="A71" s="48"/>
      <c r="B71" s="48"/>
      <c r="C71" s="225" t="s">
        <v>260</v>
      </c>
      <c r="D71" s="234" t="s">
        <v>261</v>
      </c>
      <c r="E71" s="227" t="s">
        <v>240</v>
      </c>
    </row>
    <row r="72" spans="1:8" x14ac:dyDescent="0.2">
      <c r="A72" s="48" t="s">
        <v>81</v>
      </c>
      <c r="B72" s="48"/>
      <c r="C72" s="68"/>
      <c r="D72" s="169"/>
      <c r="E72" s="324">
        <f>D72*C72</f>
        <v>0</v>
      </c>
    </row>
    <row r="73" spans="1:8" x14ac:dyDescent="0.2">
      <c r="A73" s="146" t="s">
        <v>196</v>
      </c>
      <c r="B73" s="153"/>
      <c r="C73" s="158"/>
      <c r="D73" s="157"/>
      <c r="E73" s="249">
        <f>E64+E69+E70+E72</f>
        <v>43.175999999999995</v>
      </c>
    </row>
    <row r="74" spans="1:8" x14ac:dyDescent="0.2">
      <c r="A74" s="110" t="s">
        <v>92</v>
      </c>
      <c r="B74" s="106"/>
      <c r="C74" s="107"/>
      <c r="D74" s="108"/>
      <c r="E74" s="145"/>
      <c r="F74" s="92"/>
    </row>
    <row r="75" spans="1:8" x14ac:dyDescent="0.2">
      <c r="A75" s="65" t="s">
        <v>2</v>
      </c>
      <c r="B75" s="4"/>
      <c r="C75" s="162"/>
      <c r="D75" s="83"/>
      <c r="E75" s="8" t="s">
        <v>67</v>
      </c>
      <c r="G75" s="31"/>
      <c r="H75" s="31"/>
    </row>
    <row r="76" spans="1:8" x14ac:dyDescent="0.2">
      <c r="A76" s="33" t="s">
        <v>126</v>
      </c>
      <c r="B76" s="4"/>
      <c r="C76" s="162"/>
      <c r="D76" s="83"/>
      <c r="E76" s="217">
        <v>0</v>
      </c>
      <c r="G76" s="31"/>
      <c r="H76" s="31"/>
    </row>
    <row r="77" spans="1:8" x14ac:dyDescent="0.2">
      <c r="A77" s="40" t="s">
        <v>99</v>
      </c>
      <c r="B77" s="4"/>
      <c r="C77" s="162"/>
      <c r="D77" s="83"/>
      <c r="E77" s="90">
        <v>0</v>
      </c>
      <c r="G77" s="31"/>
      <c r="H77" s="31"/>
    </row>
    <row r="78" spans="1:8" x14ac:dyDescent="0.2">
      <c r="A78" s="33" t="s">
        <v>127</v>
      </c>
      <c r="B78" s="4"/>
      <c r="C78" s="9"/>
      <c r="D78" s="163"/>
      <c r="E78" s="90">
        <v>0</v>
      </c>
      <c r="G78" s="31"/>
      <c r="H78" s="31"/>
    </row>
    <row r="79" spans="1:8" x14ac:dyDescent="0.2">
      <c r="A79" s="40" t="s">
        <v>99</v>
      </c>
      <c r="B79" s="4"/>
      <c r="C79" s="9"/>
      <c r="D79" s="163"/>
      <c r="E79" s="90">
        <v>0</v>
      </c>
      <c r="G79" s="31"/>
      <c r="H79" s="31"/>
    </row>
    <row r="80" spans="1:8" x14ac:dyDescent="0.2">
      <c r="A80" s="33" t="s">
        <v>128</v>
      </c>
      <c r="B80" s="4"/>
      <c r="C80" s="9"/>
      <c r="D80" s="163"/>
      <c r="E80" s="90">
        <v>0</v>
      </c>
      <c r="G80" s="31"/>
      <c r="H80" s="31"/>
    </row>
    <row r="81" spans="1:8" x14ac:dyDescent="0.2">
      <c r="A81" s="40" t="s">
        <v>99</v>
      </c>
      <c r="B81" s="4"/>
      <c r="C81" s="9"/>
      <c r="D81" s="163"/>
      <c r="E81" s="90">
        <v>0</v>
      </c>
      <c r="G81" s="31"/>
      <c r="H81" s="31"/>
    </row>
    <row r="82" spans="1:8" x14ac:dyDescent="0.2">
      <c r="A82" s="143" t="s">
        <v>129</v>
      </c>
      <c r="B82" s="3"/>
      <c r="C82" s="42"/>
      <c r="D82" s="164"/>
      <c r="E82" s="90">
        <v>0</v>
      </c>
      <c r="G82" s="30"/>
      <c r="H82" s="30"/>
    </row>
    <row r="83" spans="1:8" x14ac:dyDescent="0.2">
      <c r="A83" s="143" t="s">
        <v>99</v>
      </c>
      <c r="B83" s="3"/>
      <c r="C83" s="42"/>
      <c r="D83" s="164"/>
      <c r="E83" s="90">
        <v>0</v>
      </c>
      <c r="G83" s="20"/>
      <c r="H83" s="20"/>
    </row>
    <row r="84" spans="1:8" x14ac:dyDescent="0.2">
      <c r="A84" s="65" t="s">
        <v>8</v>
      </c>
      <c r="B84" s="4"/>
      <c r="C84" s="9"/>
      <c r="D84" s="3"/>
      <c r="E84" s="169">
        <v>0</v>
      </c>
    </row>
    <row r="85" spans="1:8" x14ac:dyDescent="0.2">
      <c r="A85" s="40" t="s">
        <v>130</v>
      </c>
      <c r="B85" s="4"/>
      <c r="C85" s="9"/>
      <c r="D85" s="3"/>
      <c r="E85" s="169">
        <v>0</v>
      </c>
    </row>
    <row r="86" spans="1:8" x14ac:dyDescent="0.2">
      <c r="A86" s="40" t="s">
        <v>99</v>
      </c>
      <c r="B86" s="4"/>
      <c r="C86" s="9"/>
      <c r="D86" s="3"/>
      <c r="E86" s="169">
        <v>0</v>
      </c>
    </row>
    <row r="87" spans="1:8" x14ac:dyDescent="0.2">
      <c r="A87" s="37" t="s">
        <v>131</v>
      </c>
      <c r="B87" s="3"/>
      <c r="C87" s="42"/>
      <c r="D87" s="164"/>
      <c r="E87" s="90">
        <v>0</v>
      </c>
    </row>
    <row r="88" spans="1:8" x14ac:dyDescent="0.2">
      <c r="A88" s="37" t="s">
        <v>99</v>
      </c>
      <c r="B88" s="3"/>
      <c r="C88" s="42"/>
      <c r="D88" s="164"/>
      <c r="E88" s="90">
        <v>0</v>
      </c>
    </row>
    <row r="89" spans="1:8" x14ac:dyDescent="0.2">
      <c r="A89" s="37" t="s">
        <v>131</v>
      </c>
      <c r="B89" s="3"/>
      <c r="C89" s="42"/>
      <c r="D89" s="164"/>
      <c r="E89" s="90">
        <v>0</v>
      </c>
    </row>
    <row r="90" spans="1:8" x14ac:dyDescent="0.2">
      <c r="A90" s="37" t="s">
        <v>99</v>
      </c>
      <c r="B90" s="3"/>
      <c r="C90" s="42"/>
      <c r="D90" s="164"/>
      <c r="E90" s="90">
        <v>0</v>
      </c>
    </row>
    <row r="91" spans="1:8" x14ac:dyDescent="0.2">
      <c r="A91" s="65" t="s">
        <v>12</v>
      </c>
      <c r="B91" s="4"/>
      <c r="C91" s="9"/>
      <c r="D91" s="3"/>
      <c r="E91" s="169">
        <v>0</v>
      </c>
    </row>
    <row r="92" spans="1:8" ht="13.5" customHeight="1" x14ac:dyDescent="0.2">
      <c r="A92" s="37" t="s">
        <v>175</v>
      </c>
      <c r="B92" s="3"/>
      <c r="C92" s="42"/>
      <c r="D92" s="164"/>
      <c r="E92" s="90">
        <v>0</v>
      </c>
      <c r="H92" s="20"/>
    </row>
    <row r="93" spans="1:8" x14ac:dyDescent="0.2">
      <c r="A93" s="37" t="s">
        <v>99</v>
      </c>
      <c r="B93" s="3"/>
      <c r="C93" s="42"/>
      <c r="D93" s="164"/>
      <c r="E93" s="90">
        <v>0</v>
      </c>
    </row>
    <row r="94" spans="1:8" x14ac:dyDescent="0.2">
      <c r="A94" s="37" t="s">
        <v>176</v>
      </c>
      <c r="B94" s="3"/>
      <c r="C94" s="42"/>
      <c r="D94" s="164"/>
      <c r="E94" s="90">
        <v>0</v>
      </c>
    </row>
    <row r="95" spans="1:8" x14ac:dyDescent="0.2">
      <c r="A95" s="37" t="s">
        <v>99</v>
      </c>
      <c r="B95" s="3"/>
      <c r="C95" s="42"/>
      <c r="D95" s="164"/>
      <c r="E95" s="90">
        <v>0</v>
      </c>
    </row>
    <row r="96" spans="1:8" x14ac:dyDescent="0.2">
      <c r="A96" s="37" t="s">
        <v>177</v>
      </c>
      <c r="B96" s="3"/>
      <c r="C96" s="42"/>
      <c r="D96" s="164"/>
      <c r="E96" s="90">
        <v>0</v>
      </c>
    </row>
    <row r="97" spans="1:8" x14ac:dyDescent="0.2">
      <c r="A97" s="37" t="s">
        <v>99</v>
      </c>
      <c r="B97" s="3"/>
      <c r="C97" s="42"/>
      <c r="D97" s="164"/>
      <c r="E97" s="90">
        <v>0</v>
      </c>
    </row>
    <row r="98" spans="1:8" x14ac:dyDescent="0.2">
      <c r="A98" s="143" t="s">
        <v>30</v>
      </c>
      <c r="B98" s="3"/>
      <c r="C98" s="42"/>
      <c r="D98" s="164"/>
      <c r="E98" s="90">
        <v>0</v>
      </c>
    </row>
    <row r="99" spans="1:8" x14ac:dyDescent="0.2">
      <c r="A99" s="143" t="s">
        <v>31</v>
      </c>
      <c r="B99" s="3"/>
      <c r="C99" s="42"/>
      <c r="D99" s="164"/>
      <c r="E99" s="90">
        <v>0</v>
      </c>
    </row>
    <row r="100" spans="1:8" x14ac:dyDescent="0.2">
      <c r="A100" s="156" t="s">
        <v>198</v>
      </c>
      <c r="B100" s="157"/>
      <c r="C100" s="148"/>
      <c r="D100" s="165"/>
      <c r="E100" s="250">
        <f>SUM(E76:E99)</f>
        <v>0</v>
      </c>
    </row>
    <row r="101" spans="1:8" x14ac:dyDescent="0.2">
      <c r="A101" s="131" t="s">
        <v>10</v>
      </c>
      <c r="B101" s="105"/>
      <c r="C101" s="130"/>
      <c r="D101" s="109"/>
      <c r="E101" s="109"/>
      <c r="F101" s="92"/>
    </row>
    <row r="102" spans="1:8" x14ac:dyDescent="0.2">
      <c r="A102" s="144"/>
      <c r="B102" s="3"/>
      <c r="C102" s="9"/>
      <c r="D102" s="10"/>
      <c r="E102" s="7" t="s">
        <v>240</v>
      </c>
    </row>
    <row r="103" spans="1:8" x14ac:dyDescent="0.2">
      <c r="A103" s="143" t="s">
        <v>118</v>
      </c>
      <c r="B103" s="3"/>
      <c r="C103" s="42"/>
      <c r="D103" s="43"/>
      <c r="E103" s="90">
        <v>0</v>
      </c>
    </row>
    <row r="104" spans="1:8" x14ac:dyDescent="0.2">
      <c r="A104" s="143"/>
      <c r="B104" s="3"/>
      <c r="C104" s="225" t="s">
        <v>116</v>
      </c>
      <c r="D104" s="226" t="s">
        <v>257</v>
      </c>
      <c r="E104" s="7" t="s">
        <v>240</v>
      </c>
    </row>
    <row r="105" spans="1:8" x14ac:dyDescent="0.2">
      <c r="A105" s="20" t="s">
        <v>115</v>
      </c>
      <c r="B105" s="5"/>
      <c r="C105" s="150">
        <v>0</v>
      </c>
      <c r="D105" s="151">
        <v>5.5</v>
      </c>
      <c r="E105" s="246">
        <f>+C105*D105</f>
        <v>0</v>
      </c>
    </row>
    <row r="106" spans="1:8" x14ac:dyDescent="0.2">
      <c r="A106" s="152" t="s">
        <v>117</v>
      </c>
      <c r="B106" s="153"/>
      <c r="C106" s="154"/>
      <c r="D106" s="155"/>
      <c r="E106" s="250">
        <f>E105+E103</f>
        <v>0</v>
      </c>
    </row>
    <row r="107" spans="1:8" ht="15" x14ac:dyDescent="0.25">
      <c r="A107" s="110" t="s">
        <v>93</v>
      </c>
      <c r="B107" s="103"/>
      <c r="C107" s="104"/>
      <c r="D107" s="105"/>
      <c r="E107" s="105"/>
      <c r="F107" s="92"/>
      <c r="H107" s="129"/>
    </row>
    <row r="108" spans="1:8" ht="13.5" customHeight="1" x14ac:dyDescent="0.2">
      <c r="A108" s="18"/>
      <c r="B108" s="4"/>
      <c r="C108" s="3"/>
      <c r="D108" s="3"/>
      <c r="E108" s="7" t="s">
        <v>240</v>
      </c>
    </row>
    <row r="109" spans="1:8" ht="13.5" customHeight="1" x14ac:dyDescent="0.2">
      <c r="A109" s="33" t="s">
        <v>232</v>
      </c>
      <c r="B109" s="4"/>
      <c r="C109" s="3"/>
      <c r="D109" s="3"/>
      <c r="E109" s="173">
        <v>0</v>
      </c>
    </row>
    <row r="110" spans="1:8" x14ac:dyDescent="0.2">
      <c r="A110" s="33" t="s">
        <v>28</v>
      </c>
      <c r="B110" s="4"/>
      <c r="C110" s="42"/>
      <c r="D110" s="43"/>
      <c r="E110" s="90">
        <v>0</v>
      </c>
    </row>
    <row r="111" spans="1:8" x14ac:dyDescent="0.2">
      <c r="A111" s="33" t="s">
        <v>102</v>
      </c>
      <c r="B111" s="4"/>
      <c r="C111" s="42"/>
      <c r="D111" s="43"/>
      <c r="E111" s="90">
        <v>0</v>
      </c>
    </row>
    <row r="112" spans="1:8" ht="15" x14ac:dyDescent="0.25">
      <c r="A112" s="33" t="s">
        <v>91</v>
      </c>
      <c r="B112" s="40" t="s">
        <v>233</v>
      </c>
      <c r="C112" s="42"/>
      <c r="D112" s="43"/>
      <c r="E112" s="90">
        <v>0</v>
      </c>
      <c r="H112" s="128"/>
    </row>
    <row r="113" spans="1:8" ht="15" x14ac:dyDescent="0.25">
      <c r="A113" s="33" t="s">
        <v>101</v>
      </c>
      <c r="B113" s="40"/>
      <c r="C113" s="42"/>
      <c r="D113" s="43"/>
      <c r="E113" s="193">
        <v>2.5</v>
      </c>
      <c r="H113" s="128"/>
    </row>
    <row r="114" spans="1:8" x14ac:dyDescent="0.2">
      <c r="A114" s="146" t="s">
        <v>120</v>
      </c>
      <c r="B114" s="147"/>
      <c r="C114" s="148"/>
      <c r="D114" s="149"/>
      <c r="E114" s="250">
        <f>SUM(E109:E113)</f>
        <v>2.5</v>
      </c>
    </row>
    <row r="115" spans="1:8" x14ac:dyDescent="0.2">
      <c r="A115" s="92"/>
      <c r="B115" s="103"/>
      <c r="C115" s="135"/>
      <c r="D115" s="136"/>
      <c r="E115" s="133"/>
      <c r="F115" s="92"/>
    </row>
    <row r="116" spans="1:8" x14ac:dyDescent="0.2">
      <c r="A116" s="287" t="s">
        <v>202</v>
      </c>
      <c r="B116" s="288"/>
      <c r="C116" s="289"/>
      <c r="D116" s="290"/>
      <c r="E116" s="250">
        <f>E60+E73+E100+E106+E114</f>
        <v>185.136</v>
      </c>
    </row>
    <row r="117" spans="1:8" x14ac:dyDescent="0.2">
      <c r="A117" s="14"/>
      <c r="B117" s="3"/>
      <c r="C117" s="9"/>
      <c r="D117" s="10"/>
      <c r="E117" s="126"/>
    </row>
    <row r="118" spans="1:8" x14ac:dyDescent="0.2">
      <c r="A118" s="111" t="s">
        <v>100</v>
      </c>
      <c r="B118" s="92"/>
      <c r="C118" s="127"/>
      <c r="D118" s="103"/>
      <c r="E118" s="92"/>
      <c r="F118" s="92"/>
    </row>
    <row r="119" spans="1:8" x14ac:dyDescent="0.2">
      <c r="A119" s="11" t="s">
        <v>121</v>
      </c>
      <c r="C119" s="219" t="s">
        <v>256</v>
      </c>
      <c r="D119" s="228" t="s">
        <v>255</v>
      </c>
      <c r="E119" s="7" t="s">
        <v>240</v>
      </c>
    </row>
    <row r="120" spans="1:8" x14ac:dyDescent="0.2">
      <c r="A120" s="199" t="s">
        <v>82</v>
      </c>
      <c r="B120" s="4"/>
      <c r="C120" s="68">
        <v>0</v>
      </c>
      <c r="D120" s="89">
        <v>20</v>
      </c>
      <c r="E120" s="241">
        <f>C120*D120</f>
        <v>0</v>
      </c>
    </row>
    <row r="121" spans="1:8" x14ac:dyDescent="0.2">
      <c r="A121" s="199" t="s">
        <v>9</v>
      </c>
      <c r="B121" s="4"/>
      <c r="C121" s="68">
        <v>0</v>
      </c>
      <c r="D121" s="90">
        <v>18</v>
      </c>
      <c r="E121" s="241">
        <f t="shared" ref="E121:E128" si="3">C121*D121</f>
        <v>0</v>
      </c>
    </row>
    <row r="122" spans="1:8" x14ac:dyDescent="0.2">
      <c r="A122" s="199" t="s">
        <v>403</v>
      </c>
      <c r="B122" s="4"/>
      <c r="C122" s="68">
        <v>1</v>
      </c>
      <c r="D122" s="90">
        <v>35</v>
      </c>
      <c r="E122" s="241">
        <f t="shared" si="3"/>
        <v>35</v>
      </c>
    </row>
    <row r="123" spans="1:8" x14ac:dyDescent="0.2">
      <c r="A123" s="199" t="s">
        <v>407</v>
      </c>
      <c r="B123" s="4"/>
      <c r="C123" s="68"/>
      <c r="D123" s="90">
        <v>0</v>
      </c>
      <c r="E123" s="241">
        <f t="shared" si="3"/>
        <v>0</v>
      </c>
    </row>
    <row r="124" spans="1:8" x14ac:dyDescent="0.2">
      <c r="A124" s="199"/>
      <c r="B124" s="4"/>
      <c r="C124" s="68"/>
      <c r="D124" s="90">
        <v>0</v>
      </c>
      <c r="E124" s="241">
        <f t="shared" si="3"/>
        <v>0</v>
      </c>
    </row>
    <row r="125" spans="1:8" ht="14.25" customHeight="1" x14ac:dyDescent="0.2">
      <c r="A125" s="213" t="s">
        <v>108</v>
      </c>
      <c r="B125" s="4"/>
      <c r="C125" s="68">
        <v>0</v>
      </c>
      <c r="D125" s="90">
        <v>18</v>
      </c>
      <c r="E125" s="241">
        <f t="shared" si="3"/>
        <v>0</v>
      </c>
    </row>
    <row r="126" spans="1:8" ht="14.25" customHeight="1" x14ac:dyDescent="0.2">
      <c r="A126" s="213"/>
      <c r="B126" s="4"/>
      <c r="C126" s="68"/>
      <c r="D126" s="90">
        <v>0</v>
      </c>
      <c r="E126" s="241">
        <v>0</v>
      </c>
    </row>
    <row r="127" spans="1:8" ht="14.25" customHeight="1" x14ac:dyDescent="0.2">
      <c r="A127" s="213"/>
      <c r="B127" s="4"/>
      <c r="C127" s="68"/>
      <c r="D127" s="90">
        <v>0</v>
      </c>
      <c r="E127" s="241">
        <v>0</v>
      </c>
    </row>
    <row r="128" spans="1:8" ht="12" customHeight="1" x14ac:dyDescent="0.2">
      <c r="A128" s="213"/>
      <c r="B128" s="3"/>
      <c r="C128" s="68"/>
      <c r="D128" s="90">
        <v>0</v>
      </c>
      <c r="E128" s="241">
        <f t="shared" si="3"/>
        <v>0</v>
      </c>
    </row>
    <row r="129" spans="1:19" ht="12.75" customHeight="1" x14ac:dyDescent="0.2">
      <c r="A129" s="199"/>
      <c r="B129" s="292"/>
      <c r="C129" s="68"/>
      <c r="D129" s="90">
        <v>0</v>
      </c>
      <c r="E129" s="245">
        <f>C129*D129</f>
        <v>0</v>
      </c>
    </row>
    <row r="130" spans="1:19" ht="12" customHeight="1" x14ac:dyDescent="0.2">
      <c r="A130" s="287" t="s">
        <v>183</v>
      </c>
      <c r="B130" s="288"/>
      <c r="C130" s="289"/>
      <c r="D130" s="291"/>
      <c r="E130" s="250">
        <f>SUM(E120:E129)</f>
        <v>35</v>
      </c>
      <c r="H130" s="322" t="s">
        <v>336</v>
      </c>
    </row>
    <row r="131" spans="1:19" ht="12" customHeight="1" x14ac:dyDescent="0.2">
      <c r="A131" s="8"/>
      <c r="B131" s="3"/>
      <c r="C131" s="9"/>
      <c r="D131" s="3"/>
      <c r="E131" s="126"/>
      <c r="H131" s="323" t="s">
        <v>355</v>
      </c>
    </row>
    <row r="132" spans="1:19" ht="12.75" customHeight="1" x14ac:dyDescent="0.2">
      <c r="A132" s="14" t="s">
        <v>220</v>
      </c>
      <c r="B132" s="3"/>
      <c r="C132" s="7" t="s">
        <v>312</v>
      </c>
      <c r="D132" s="7" t="s">
        <v>255</v>
      </c>
      <c r="E132" s="7" t="s">
        <v>240</v>
      </c>
    </row>
    <row r="133" spans="1:19" ht="12.75" customHeight="1" x14ac:dyDescent="0.2">
      <c r="A133" s="196" t="s">
        <v>346</v>
      </c>
      <c r="B133" s="3"/>
      <c r="C133" s="68">
        <v>1</v>
      </c>
      <c r="D133" s="91">
        <v>18</v>
      </c>
      <c r="E133" s="245">
        <f>C133*D133</f>
        <v>18</v>
      </c>
      <c r="H133" s="322" t="s">
        <v>334</v>
      </c>
    </row>
    <row r="134" spans="1:19" ht="12.75" customHeight="1" x14ac:dyDescent="0.2">
      <c r="A134" s="199" t="s">
        <v>347</v>
      </c>
      <c r="B134" s="40"/>
      <c r="C134" s="68">
        <v>1</v>
      </c>
      <c r="D134" s="91">
        <v>18</v>
      </c>
      <c r="E134" s="245">
        <f t="shared" ref="E134:E140" si="4">C134*D134</f>
        <v>18</v>
      </c>
      <c r="H134" s="323" t="s">
        <v>335</v>
      </c>
      <c r="S134" s="4"/>
    </row>
    <row r="135" spans="1:19" ht="12.75" customHeight="1" x14ac:dyDescent="0.2">
      <c r="A135" s="199" t="s">
        <v>348</v>
      </c>
      <c r="B135" s="4"/>
      <c r="C135" s="68">
        <v>1</v>
      </c>
      <c r="D135" s="91">
        <v>70</v>
      </c>
      <c r="E135" s="245">
        <f t="shared" si="4"/>
        <v>70</v>
      </c>
      <c r="H135" s="36" t="s">
        <v>357</v>
      </c>
      <c r="S135" s="4"/>
    </row>
    <row r="136" spans="1:19" ht="12.75" customHeight="1" x14ac:dyDescent="0.2">
      <c r="A136" s="199"/>
      <c r="B136" s="40"/>
      <c r="C136" s="68"/>
      <c r="D136" s="91">
        <v>0</v>
      </c>
      <c r="E136" s="245">
        <f t="shared" si="4"/>
        <v>0</v>
      </c>
      <c r="S136" s="4"/>
    </row>
    <row r="137" spans="1:19" ht="12.75" customHeight="1" x14ac:dyDescent="0.2">
      <c r="A137" s="199"/>
      <c r="B137" s="40"/>
      <c r="C137" s="68"/>
      <c r="D137" s="91">
        <v>0</v>
      </c>
      <c r="E137" s="245">
        <f t="shared" si="4"/>
        <v>0</v>
      </c>
      <c r="H137" t="s">
        <v>358</v>
      </c>
      <c r="S137" s="4"/>
    </row>
    <row r="138" spans="1:19" ht="12.75" customHeight="1" x14ac:dyDescent="0.2">
      <c r="A138" s="199"/>
      <c r="B138" s="40"/>
      <c r="C138" s="68"/>
      <c r="D138" s="91">
        <v>0</v>
      </c>
      <c r="E138" s="245">
        <f t="shared" si="4"/>
        <v>0</v>
      </c>
      <c r="H138" s="323" t="s">
        <v>359</v>
      </c>
      <c r="S138" s="4"/>
    </row>
    <row r="139" spans="1:19" ht="12.75" customHeight="1" x14ac:dyDescent="0.2">
      <c r="A139" s="199"/>
      <c r="B139" s="40"/>
      <c r="C139" s="68"/>
      <c r="D139" s="91">
        <v>0</v>
      </c>
      <c r="E139" s="245">
        <f t="shared" si="4"/>
        <v>0</v>
      </c>
      <c r="S139" s="4"/>
    </row>
    <row r="140" spans="1:19" ht="12.75" customHeight="1" x14ac:dyDescent="0.2">
      <c r="A140" s="199"/>
      <c r="B140" s="295"/>
      <c r="C140" s="68"/>
      <c r="D140" s="90">
        <v>0</v>
      </c>
      <c r="E140" s="245">
        <f t="shared" si="4"/>
        <v>0</v>
      </c>
      <c r="H140" s="322" t="s">
        <v>337</v>
      </c>
      <c r="S140" s="4"/>
    </row>
    <row r="141" spans="1:19" ht="12.75" customHeight="1" x14ac:dyDescent="0.2">
      <c r="A141" s="168" t="s">
        <v>221</v>
      </c>
      <c r="B141" s="132"/>
      <c r="C141" s="293"/>
      <c r="D141" s="297"/>
      <c r="E141" s="298">
        <f>SUM(E133:E140)</f>
        <v>106</v>
      </c>
      <c r="H141" s="323" t="s">
        <v>338</v>
      </c>
      <c r="S141" s="4"/>
    </row>
    <row r="142" spans="1:19" ht="12.75" customHeight="1" x14ac:dyDescent="0.2">
      <c r="A142" s="40"/>
      <c r="B142" s="40"/>
      <c r="C142" s="42"/>
      <c r="D142" s="164"/>
      <c r="E142" s="93"/>
      <c r="S142" s="4"/>
    </row>
    <row r="143" spans="1:19" ht="12.75" customHeight="1" x14ac:dyDescent="0.2">
      <c r="A143" s="198" t="s">
        <v>271</v>
      </c>
      <c r="B143" s="7" t="s">
        <v>311</v>
      </c>
      <c r="C143" s="225" t="s">
        <v>268</v>
      </c>
      <c r="D143" s="226" t="s">
        <v>267</v>
      </c>
      <c r="E143" s="7" t="s">
        <v>240</v>
      </c>
      <c r="H143" s="322" t="s">
        <v>339</v>
      </c>
      <c r="S143" s="4"/>
    </row>
    <row r="144" spans="1:19" ht="12.75" customHeight="1" x14ac:dyDescent="0.2">
      <c r="A144" s="199" t="s">
        <v>354</v>
      </c>
      <c r="B144" s="207"/>
      <c r="C144" s="68"/>
      <c r="D144" s="90">
        <v>0</v>
      </c>
      <c r="E144" s="245">
        <f t="shared" ref="E144:E145" si="5">IFERROR((D144/C144)*B144,0)</f>
        <v>0</v>
      </c>
      <c r="H144" s="323" t="s">
        <v>356</v>
      </c>
      <c r="S144" s="4"/>
    </row>
    <row r="145" spans="1:19" ht="12.75" customHeight="1" x14ac:dyDescent="0.2">
      <c r="A145" s="199"/>
      <c r="B145" s="207"/>
      <c r="C145" s="68"/>
      <c r="D145" s="91">
        <v>0</v>
      </c>
      <c r="E145" s="245">
        <f t="shared" si="5"/>
        <v>0</v>
      </c>
      <c r="S145" s="4"/>
    </row>
    <row r="146" spans="1:19" ht="12.75" customHeight="1" x14ac:dyDescent="0.2">
      <c r="A146" s="199"/>
      <c r="B146" s="207"/>
      <c r="C146" s="68"/>
      <c r="D146" s="91">
        <v>0</v>
      </c>
      <c r="E146" s="245">
        <f>IFERROR((D146/C146)*B146,0)</f>
        <v>0</v>
      </c>
      <c r="S146" s="4"/>
    </row>
    <row r="147" spans="1:19" ht="12.75" customHeight="1" x14ac:dyDescent="0.2">
      <c r="A147" s="199"/>
      <c r="B147" s="207"/>
      <c r="C147" s="68"/>
      <c r="D147" s="91">
        <v>0</v>
      </c>
      <c r="E147" s="245">
        <f t="shared" ref="E147:E151" si="6">IFERROR((D147/C147)*B147,0)</f>
        <v>0</v>
      </c>
      <c r="S147" s="4"/>
    </row>
    <row r="148" spans="1:19" ht="12.75" customHeight="1" x14ac:dyDescent="0.2">
      <c r="A148" s="199"/>
      <c r="B148" s="207"/>
      <c r="C148" s="68"/>
      <c r="D148" s="91">
        <v>0</v>
      </c>
      <c r="E148" s="245">
        <f t="shared" si="6"/>
        <v>0</v>
      </c>
      <c r="S148" s="4"/>
    </row>
    <row r="149" spans="1:19" ht="12.75" customHeight="1" x14ac:dyDescent="0.2">
      <c r="A149" s="199"/>
      <c r="B149" s="207"/>
      <c r="C149" s="68"/>
      <c r="D149" s="91">
        <v>0</v>
      </c>
      <c r="E149" s="245">
        <f t="shared" si="6"/>
        <v>0</v>
      </c>
      <c r="S149" s="4"/>
    </row>
    <row r="150" spans="1:19" ht="12.75" customHeight="1" x14ac:dyDescent="0.2">
      <c r="A150" s="230"/>
      <c r="B150" s="207"/>
      <c r="C150" s="77"/>
      <c r="D150" s="174">
        <v>0</v>
      </c>
      <c r="E150" s="245">
        <f t="shared" si="6"/>
        <v>0</v>
      </c>
      <c r="S150" s="4"/>
    </row>
    <row r="151" spans="1:19" ht="12.75" customHeight="1" x14ac:dyDescent="0.2">
      <c r="A151" s="199"/>
      <c r="B151" s="207"/>
      <c r="C151" s="68"/>
      <c r="D151" s="90">
        <v>0</v>
      </c>
      <c r="E151" s="245">
        <f t="shared" si="6"/>
        <v>0</v>
      </c>
      <c r="S151" s="4"/>
    </row>
    <row r="152" spans="1:19" ht="12.75" customHeight="1" x14ac:dyDescent="0.2">
      <c r="A152" s="302" t="s">
        <v>222</v>
      </c>
      <c r="B152" s="303"/>
      <c r="C152" s="304"/>
      <c r="D152" s="305"/>
      <c r="E152" s="250">
        <f>SUM(E144:E151)</f>
        <v>0</v>
      </c>
      <c r="S152" s="4"/>
    </row>
    <row r="153" spans="1:19" ht="12.75" customHeight="1" x14ac:dyDescent="0.2">
      <c r="A153" s="40"/>
      <c r="B153" s="40"/>
      <c r="C153" s="42"/>
      <c r="D153" s="164"/>
      <c r="E153" s="93"/>
      <c r="S153" s="4"/>
    </row>
    <row r="154" spans="1:19" ht="12.75" customHeight="1" x14ac:dyDescent="0.2">
      <c r="A154" s="260" t="s">
        <v>309</v>
      </c>
      <c r="B154" s="40"/>
      <c r="C154" s="225" t="s">
        <v>310</v>
      </c>
      <c r="D154" s="234" t="s">
        <v>301</v>
      </c>
      <c r="E154" s="93"/>
      <c r="S154" s="4"/>
    </row>
    <row r="155" spans="1:19" ht="12.75" customHeight="1" x14ac:dyDescent="0.2">
      <c r="A155" s="199"/>
      <c r="B155" s="40"/>
      <c r="C155" s="68"/>
      <c r="D155" s="90">
        <v>0</v>
      </c>
      <c r="E155" s="245">
        <f>C155*D155</f>
        <v>0</v>
      </c>
      <c r="S155" s="4"/>
    </row>
    <row r="156" spans="1:19" ht="12.75" customHeight="1" x14ac:dyDescent="0.2">
      <c r="A156" s="199"/>
      <c r="B156" s="40"/>
      <c r="C156" s="68"/>
      <c r="D156" s="91">
        <v>0</v>
      </c>
      <c r="E156" s="245">
        <f t="shared" ref="E156:E161" si="7">C156*D156</f>
        <v>0</v>
      </c>
      <c r="S156" s="4"/>
    </row>
    <row r="157" spans="1:19" ht="12.75" customHeight="1" x14ac:dyDescent="0.2">
      <c r="A157" s="199" t="s">
        <v>210</v>
      </c>
      <c r="B157" s="40"/>
      <c r="C157" s="68"/>
      <c r="D157" s="91">
        <v>0</v>
      </c>
      <c r="E157" s="245">
        <f t="shared" si="7"/>
        <v>0</v>
      </c>
      <c r="S157" s="4"/>
    </row>
    <row r="158" spans="1:19" ht="12.75" customHeight="1" x14ac:dyDescent="0.2">
      <c r="A158" s="199"/>
      <c r="B158" s="40"/>
      <c r="C158" s="68"/>
      <c r="D158" s="91">
        <v>0</v>
      </c>
      <c r="E158" s="245">
        <f t="shared" si="7"/>
        <v>0</v>
      </c>
      <c r="S158" s="4"/>
    </row>
    <row r="159" spans="1:19" ht="12.75" customHeight="1" x14ac:dyDescent="0.2">
      <c r="A159" s="199"/>
      <c r="B159" s="40"/>
      <c r="C159" s="68"/>
      <c r="D159" s="91">
        <v>0</v>
      </c>
      <c r="E159" s="245">
        <f t="shared" si="7"/>
        <v>0</v>
      </c>
      <c r="S159" s="4"/>
    </row>
    <row r="160" spans="1:19" ht="12.75" customHeight="1" x14ac:dyDescent="0.2">
      <c r="A160" s="199"/>
      <c r="B160" s="40"/>
      <c r="C160" s="68"/>
      <c r="D160" s="91">
        <v>0</v>
      </c>
      <c r="E160" s="245">
        <f t="shared" si="7"/>
        <v>0</v>
      </c>
      <c r="S160" s="4"/>
    </row>
    <row r="161" spans="1:19" ht="12.75" customHeight="1" x14ac:dyDescent="0.2">
      <c r="A161" s="199"/>
      <c r="B161" s="295"/>
      <c r="C161" s="68"/>
      <c r="D161" s="90">
        <v>0</v>
      </c>
      <c r="E161" s="245">
        <f t="shared" si="7"/>
        <v>0</v>
      </c>
      <c r="S161" s="4"/>
    </row>
    <row r="162" spans="1:19" ht="12.75" customHeight="1" x14ac:dyDescent="0.2">
      <c r="A162" s="301" t="s">
        <v>223</v>
      </c>
      <c r="B162" s="132"/>
      <c r="C162" s="293"/>
      <c r="D162" s="297"/>
      <c r="E162" s="250">
        <f>SUM(E155:E161)</f>
        <v>0</v>
      </c>
      <c r="S162" s="4"/>
    </row>
    <row r="163" spans="1:19" ht="12.75" customHeight="1" x14ac:dyDescent="0.2">
      <c r="A163" s="40"/>
      <c r="B163" s="40"/>
      <c r="C163" s="42"/>
      <c r="D163" s="164"/>
      <c r="E163" s="93"/>
      <c r="S163" s="4"/>
    </row>
    <row r="164" spans="1:19" ht="12.75" customHeight="1" x14ac:dyDescent="0.2">
      <c r="A164" s="260" t="s">
        <v>273</v>
      </c>
      <c r="B164" s="40"/>
      <c r="C164" s="225" t="s">
        <v>308</v>
      </c>
      <c r="D164" s="226" t="s">
        <v>239</v>
      </c>
      <c r="E164" s="93"/>
      <c r="S164" s="4"/>
    </row>
    <row r="165" spans="1:19" ht="12.75" customHeight="1" x14ac:dyDescent="0.2">
      <c r="A165" s="199"/>
      <c r="B165" s="40"/>
      <c r="C165" s="68"/>
      <c r="D165" s="90">
        <v>0</v>
      </c>
      <c r="E165" s="245">
        <f>C165*D165</f>
        <v>0</v>
      </c>
      <c r="S165" s="4"/>
    </row>
    <row r="166" spans="1:19" ht="12.75" customHeight="1" x14ac:dyDescent="0.2">
      <c r="A166" s="199"/>
      <c r="B166" s="40"/>
      <c r="C166" s="68"/>
      <c r="D166" s="90">
        <v>0</v>
      </c>
      <c r="E166" s="245">
        <f t="shared" ref="E166:E171" si="8">C166*D166</f>
        <v>0</v>
      </c>
      <c r="S166" s="4"/>
    </row>
    <row r="167" spans="1:19" ht="12.75" customHeight="1" x14ac:dyDescent="0.2">
      <c r="A167" s="199"/>
      <c r="B167" s="40"/>
      <c r="C167" s="68"/>
      <c r="D167" s="90">
        <v>0</v>
      </c>
      <c r="E167" s="245">
        <f t="shared" si="8"/>
        <v>0</v>
      </c>
      <c r="S167" s="4"/>
    </row>
    <row r="168" spans="1:19" ht="12.75" customHeight="1" x14ac:dyDescent="0.2">
      <c r="A168" s="199"/>
      <c r="B168" s="40"/>
      <c r="C168" s="68"/>
      <c r="D168" s="90">
        <v>0</v>
      </c>
      <c r="E168" s="245">
        <f t="shared" si="8"/>
        <v>0</v>
      </c>
      <c r="S168" s="4"/>
    </row>
    <row r="169" spans="1:19" ht="12.75" customHeight="1" x14ac:dyDescent="0.2">
      <c r="A169" s="199"/>
      <c r="B169" s="40"/>
      <c r="C169" s="68"/>
      <c r="D169" s="90">
        <v>0</v>
      </c>
      <c r="E169" s="245">
        <f t="shared" si="8"/>
        <v>0</v>
      </c>
      <c r="S169" s="4"/>
    </row>
    <row r="170" spans="1:19" ht="12.75" customHeight="1" x14ac:dyDescent="0.2">
      <c r="A170" s="230"/>
      <c r="B170" s="40"/>
      <c r="C170" s="68"/>
      <c r="D170" s="193">
        <v>0</v>
      </c>
      <c r="E170" s="246">
        <f t="shared" si="8"/>
        <v>0</v>
      </c>
      <c r="S170" s="4"/>
    </row>
    <row r="171" spans="1:19" ht="12.75" customHeight="1" x14ac:dyDescent="0.2">
      <c r="A171" s="199"/>
      <c r="B171" s="295"/>
      <c r="C171" s="68"/>
      <c r="D171" s="90">
        <v>0</v>
      </c>
      <c r="E171" s="245">
        <f t="shared" si="8"/>
        <v>0</v>
      </c>
      <c r="S171" s="4"/>
    </row>
    <row r="172" spans="1:19" ht="12.75" customHeight="1" x14ac:dyDescent="0.2">
      <c r="A172" s="302" t="s">
        <v>224</v>
      </c>
      <c r="B172" s="303"/>
      <c r="C172" s="304"/>
      <c r="D172" s="305"/>
      <c r="E172" s="250">
        <f>SUM(E165:E171)</f>
        <v>0</v>
      </c>
      <c r="S172" s="4"/>
    </row>
    <row r="173" spans="1:19" ht="12.75" customHeight="1" x14ac:dyDescent="0.2">
      <c r="A173" s="40"/>
      <c r="B173" s="40"/>
      <c r="C173" s="42"/>
      <c r="D173" s="164"/>
      <c r="E173" s="93"/>
      <c r="S173" s="4"/>
    </row>
    <row r="174" spans="1:19" ht="12.75" customHeight="1" x14ac:dyDescent="0.2">
      <c r="A174" s="198" t="s">
        <v>34</v>
      </c>
      <c r="B174" s="7" t="s">
        <v>275</v>
      </c>
      <c r="C174" s="225" t="s">
        <v>124</v>
      </c>
      <c r="D174" s="235" t="s">
        <v>253</v>
      </c>
      <c r="E174" s="7" t="s">
        <v>240</v>
      </c>
      <c r="S174" s="4"/>
    </row>
    <row r="175" spans="1:19" ht="12.75" customHeight="1" x14ac:dyDescent="0.2">
      <c r="A175" s="199" t="s">
        <v>134</v>
      </c>
      <c r="B175" s="207">
        <v>15</v>
      </c>
      <c r="C175" s="68">
        <v>0</v>
      </c>
      <c r="D175" s="71">
        <v>4</v>
      </c>
      <c r="E175" s="245">
        <f>((C175*D175)*((C14+C15)/B175))</f>
        <v>0</v>
      </c>
      <c r="S175" s="4"/>
    </row>
    <row r="176" spans="1:19" ht="12.75" customHeight="1" x14ac:dyDescent="0.2">
      <c r="A176" s="230"/>
      <c r="B176" s="207">
        <v>10</v>
      </c>
      <c r="C176" s="77"/>
      <c r="D176" s="174"/>
      <c r="E176" s="246">
        <f>((C176*D176)*(C16/B176))</f>
        <v>0</v>
      </c>
      <c r="S176" s="4"/>
    </row>
    <row r="177" spans="1:19" ht="12.75" customHeight="1" x14ac:dyDescent="0.2">
      <c r="A177" s="146" t="s">
        <v>123</v>
      </c>
      <c r="B177" s="147"/>
      <c r="C177" s="148"/>
      <c r="D177" s="149"/>
      <c r="E177" s="250">
        <f>E141+E152+E162+E172+E175+E176</f>
        <v>106</v>
      </c>
      <c r="S177" s="4"/>
    </row>
    <row r="178" spans="1:19" ht="12.75" customHeight="1" x14ac:dyDescent="0.2">
      <c r="A178" s="110" t="s">
        <v>32</v>
      </c>
      <c r="B178" s="106"/>
      <c r="C178" s="107"/>
      <c r="D178" s="108"/>
      <c r="E178" s="109"/>
      <c r="F178" s="92"/>
      <c r="S178" s="4"/>
    </row>
    <row r="179" spans="1:19" ht="12.75" customHeight="1" x14ac:dyDescent="0.2">
      <c r="A179" s="40"/>
      <c r="B179" s="236" t="s">
        <v>179</v>
      </c>
      <c r="C179" s="236" t="s">
        <v>276</v>
      </c>
      <c r="D179" s="237" t="s">
        <v>277</v>
      </c>
      <c r="E179" s="7" t="s">
        <v>240</v>
      </c>
      <c r="S179" s="4"/>
    </row>
    <row r="180" spans="1:19" ht="12.75" customHeight="1" x14ac:dyDescent="0.2">
      <c r="A180" s="199" t="s">
        <v>212</v>
      </c>
      <c r="B180" s="218">
        <v>1</v>
      </c>
      <c r="C180" s="172">
        <v>260</v>
      </c>
      <c r="D180" s="173">
        <v>1000</v>
      </c>
      <c r="E180" s="274">
        <f>IFERROR(((D180/C180)*($C$14+$C$15))*B180,0)</f>
        <v>25</v>
      </c>
      <c r="S180" s="4"/>
    </row>
    <row r="181" spans="1:19" ht="12.75" customHeight="1" x14ac:dyDescent="0.25">
      <c r="A181" s="199" t="s">
        <v>211</v>
      </c>
      <c r="B181" s="218">
        <v>0</v>
      </c>
      <c r="C181" s="68">
        <v>400</v>
      </c>
      <c r="D181" s="90">
        <v>0</v>
      </c>
      <c r="E181" s="245">
        <f t="shared" ref="E181:E182" si="9">IFERROR(((D181/C181)*($C$14+$C$15))*B181,0)</f>
        <v>0</v>
      </c>
      <c r="H181" s="188" t="s">
        <v>144</v>
      </c>
      <c r="I181" s="177"/>
      <c r="J181" s="177"/>
      <c r="K181" s="177"/>
      <c r="L181" s="178"/>
      <c r="M181" s="179"/>
      <c r="S181" s="4"/>
    </row>
    <row r="182" spans="1:19" ht="12.75" customHeight="1" x14ac:dyDescent="0.25">
      <c r="A182" s="199" t="s">
        <v>181</v>
      </c>
      <c r="B182" s="218"/>
      <c r="C182" s="68"/>
      <c r="D182" s="90"/>
      <c r="E182" s="245">
        <f t="shared" si="9"/>
        <v>0</v>
      </c>
      <c r="H182" s="180" t="s">
        <v>145</v>
      </c>
      <c r="I182" s="181"/>
      <c r="J182" s="181"/>
      <c r="K182" s="182" t="s">
        <v>154</v>
      </c>
      <c r="L182" s="178"/>
      <c r="M182" s="179"/>
      <c r="S182" s="4"/>
    </row>
    <row r="183" spans="1:19" ht="12.75" customHeight="1" x14ac:dyDescent="0.25">
      <c r="A183" s="192"/>
      <c r="B183" s="40" t="s">
        <v>180</v>
      </c>
      <c r="C183" s="134" t="s">
        <v>279</v>
      </c>
      <c r="D183" s="300" t="s">
        <v>278</v>
      </c>
      <c r="E183" s="102"/>
      <c r="H183" s="183" t="s">
        <v>146</v>
      </c>
      <c r="I183" s="181"/>
      <c r="J183" s="181"/>
      <c r="K183" s="181" t="s">
        <v>147</v>
      </c>
      <c r="L183" s="181"/>
      <c r="M183" s="184"/>
      <c r="S183" s="4"/>
    </row>
    <row r="184" spans="1:19" ht="12.75" customHeight="1" x14ac:dyDescent="0.25">
      <c r="A184" s="199" t="s">
        <v>178</v>
      </c>
      <c r="B184" s="207"/>
      <c r="C184" s="68"/>
      <c r="D184" s="90"/>
      <c r="E184" s="245">
        <f>IFERROR(((D184/C184)*($C$14+$C$15))*B184,0)</f>
        <v>0</v>
      </c>
      <c r="H184" s="183" t="s">
        <v>148</v>
      </c>
      <c r="I184" s="181"/>
      <c r="J184" s="181"/>
      <c r="K184" s="181" t="s">
        <v>149</v>
      </c>
      <c r="L184" s="181"/>
      <c r="M184" s="184"/>
      <c r="S184" s="4"/>
    </row>
    <row r="185" spans="1:19" ht="12.75" customHeight="1" x14ac:dyDescent="0.25">
      <c r="A185" s="40"/>
      <c r="B185" s="40"/>
      <c r="C185" s="44"/>
      <c r="D185" s="226" t="s">
        <v>155</v>
      </c>
      <c r="E185" s="7" t="s">
        <v>240</v>
      </c>
      <c r="H185" s="183" t="s">
        <v>150</v>
      </c>
      <c r="I185" s="181"/>
      <c r="J185" s="181"/>
      <c r="K185" s="181" t="s">
        <v>151</v>
      </c>
      <c r="L185" s="181"/>
      <c r="M185" s="184"/>
      <c r="S185" s="4"/>
    </row>
    <row r="186" spans="1:19" ht="12.75" customHeight="1" x14ac:dyDescent="0.25">
      <c r="A186" s="40" t="s">
        <v>213</v>
      </c>
      <c r="B186" s="189"/>
      <c r="C186" s="42"/>
      <c r="D186" s="191">
        <v>0.1</v>
      </c>
      <c r="E186" s="251">
        <f>(E18)*D186</f>
        <v>35.75</v>
      </c>
      <c r="H186" s="185" t="s">
        <v>152</v>
      </c>
      <c r="I186" s="186"/>
      <c r="J186" s="186"/>
      <c r="K186" s="186" t="s">
        <v>153</v>
      </c>
      <c r="L186" s="186"/>
      <c r="M186" s="187"/>
      <c r="S186" s="4"/>
    </row>
    <row r="187" spans="1:19" ht="12.75" customHeight="1" x14ac:dyDescent="0.2">
      <c r="A187" s="138" t="s">
        <v>104</v>
      </c>
      <c r="B187" s="106"/>
      <c r="C187" s="139"/>
      <c r="D187" s="140"/>
      <c r="E187" s="141"/>
      <c r="F187" s="92"/>
      <c r="S187" s="4"/>
    </row>
    <row r="188" spans="1:19" ht="12.75" customHeight="1" x14ac:dyDescent="0.2">
      <c r="A188" s="40"/>
      <c r="B188" s="40"/>
      <c r="C188" s="225" t="s">
        <v>125</v>
      </c>
      <c r="D188" s="226" t="s">
        <v>105</v>
      </c>
      <c r="E188" s="54" t="s">
        <v>240</v>
      </c>
      <c r="G188" s="20"/>
      <c r="S188" s="4"/>
    </row>
    <row r="189" spans="1:19" ht="12.75" customHeight="1" x14ac:dyDescent="0.2">
      <c r="A189" s="266" t="s">
        <v>45</v>
      </c>
      <c r="B189" s="267"/>
      <c r="C189" s="167">
        <v>1.5</v>
      </c>
      <c r="D189" s="90">
        <v>25</v>
      </c>
      <c r="E189" s="245">
        <f>C189*D189</f>
        <v>37.5</v>
      </c>
      <c r="S189" s="4"/>
    </row>
    <row r="190" spans="1:19" ht="12.75" customHeight="1" x14ac:dyDescent="0.2">
      <c r="A190" s="40"/>
      <c r="B190" s="40"/>
      <c r="C190" s="42"/>
      <c r="D190" s="43"/>
      <c r="E190" s="10"/>
      <c r="S190" s="4"/>
    </row>
    <row r="191" spans="1:19" ht="12.75" customHeight="1" x14ac:dyDescent="0.2">
      <c r="A191" s="106"/>
      <c r="B191" s="112"/>
      <c r="C191" s="107"/>
      <c r="D191" s="108"/>
      <c r="E191" s="142"/>
      <c r="F191" s="92"/>
    </row>
    <row r="192" spans="1:19" ht="12.75" customHeight="1" x14ac:dyDescent="0.2">
      <c r="A192" s="33" t="s">
        <v>113</v>
      </c>
      <c r="C192" s="231">
        <v>7.4999999999999997E-2</v>
      </c>
      <c r="E192" s="241">
        <f>(C192*0.67)*(E116+(0.2*E130))</f>
        <v>9.654834000000001</v>
      </c>
      <c r="G192" s="86" t="s">
        <v>59</v>
      </c>
      <c r="H192" s="87"/>
      <c r="I192" s="87"/>
      <c r="J192" s="87"/>
      <c r="K192" s="87"/>
      <c r="L192" s="88"/>
    </row>
    <row r="193" spans="1:13" ht="12.75" customHeight="1" x14ac:dyDescent="0.2">
      <c r="A193" s="15"/>
      <c r="E193" s="6"/>
      <c r="G193" s="4"/>
      <c r="H193" s="4"/>
      <c r="I193" s="45"/>
      <c r="J193" s="45"/>
      <c r="K193" s="4"/>
      <c r="L193" s="45"/>
      <c r="M193" s="45"/>
    </row>
    <row r="194" spans="1:13" ht="12.75" customHeight="1" x14ac:dyDescent="0.2">
      <c r="A194" s="33" t="s">
        <v>85</v>
      </c>
      <c r="B194" s="4"/>
      <c r="C194" s="44"/>
      <c r="D194" s="43"/>
      <c r="E194" s="243">
        <f>E18*0.05</f>
        <v>17.875</v>
      </c>
    </row>
    <row r="195" spans="1:13" ht="12.75" customHeight="1" x14ac:dyDescent="0.2">
      <c r="A195" s="20" t="s">
        <v>231</v>
      </c>
      <c r="C195" s="16"/>
      <c r="E195" s="243">
        <f>E116+E130+E177+E180+E181+E182+E184+E189+E192</f>
        <v>398.29083399999996</v>
      </c>
    </row>
    <row r="196" spans="1:13" ht="12.75" customHeight="1" x14ac:dyDescent="0.2">
      <c r="A196" s="20" t="s">
        <v>230</v>
      </c>
      <c r="D196" s="16"/>
      <c r="E196" s="243">
        <f>E18-E195</f>
        <v>-40.790833999999961</v>
      </c>
    </row>
    <row r="197" spans="1:13" ht="14.25" x14ac:dyDescent="0.2">
      <c r="A197" s="21"/>
      <c r="C197" s="54"/>
      <c r="D197" s="54"/>
      <c r="E197" s="55"/>
    </row>
    <row r="198" spans="1:13" x14ac:dyDescent="0.2">
      <c r="A198" s="33" t="s">
        <v>218</v>
      </c>
      <c r="B198" s="4"/>
      <c r="C198" s="42"/>
      <c r="D198" s="53"/>
      <c r="E198" s="252">
        <f>E195/(C14+C15)</f>
        <v>61.275512923076917</v>
      </c>
    </row>
    <row r="199" spans="1:13" x14ac:dyDescent="0.2">
      <c r="A199" s="20" t="s">
        <v>219</v>
      </c>
      <c r="B199" s="4"/>
      <c r="E199" s="243">
        <f>E195/(C16+C17)</f>
        <v>175.07289406593407</v>
      </c>
    </row>
    <row r="200" spans="1:13" x14ac:dyDescent="0.2">
      <c r="B200" s="4"/>
    </row>
    <row r="201" spans="1:13" x14ac:dyDescent="0.2">
      <c r="C201" s="355" t="s">
        <v>26</v>
      </c>
      <c r="D201" s="356"/>
      <c r="E201" s="356"/>
      <c r="F201" s="356"/>
      <c r="G201" s="357"/>
    </row>
    <row r="202" spans="1:13" x14ac:dyDescent="0.2">
      <c r="C202" s="74"/>
      <c r="D202" s="75"/>
      <c r="E202" s="75"/>
      <c r="F202" s="75"/>
      <c r="G202" s="76"/>
    </row>
    <row r="203" spans="1:13" x14ac:dyDescent="0.2">
      <c r="C203" s="355" t="s">
        <v>18</v>
      </c>
      <c r="D203" s="356"/>
      <c r="E203" s="356"/>
      <c r="F203" s="356"/>
      <c r="G203" s="357"/>
    </row>
    <row r="204" spans="1:13" x14ac:dyDescent="0.2">
      <c r="A204" s="358" t="s">
        <v>24</v>
      </c>
      <c r="B204" s="359"/>
      <c r="C204" s="23"/>
      <c r="D204" s="23"/>
      <c r="E204" s="23"/>
      <c r="F204" s="23"/>
      <c r="G204" s="23"/>
    </row>
    <row r="205" spans="1:13" x14ac:dyDescent="0.2">
      <c r="A205" s="258" t="s">
        <v>27</v>
      </c>
      <c r="B205" s="259" t="s">
        <v>302</v>
      </c>
      <c r="C205" s="355" t="s">
        <v>26</v>
      </c>
      <c r="D205" s="356"/>
      <c r="E205" s="356"/>
      <c r="F205" s="356"/>
      <c r="G205" s="357"/>
    </row>
    <row r="206" spans="1:13" x14ac:dyDescent="0.2">
      <c r="A206" s="24" t="s">
        <v>21</v>
      </c>
      <c r="B206" s="349">
        <f>C14*1.2</f>
        <v>7.8</v>
      </c>
      <c r="C206" s="347">
        <f t="shared" ref="C206:G210" si="10">((C$211*$B206)+$E$15)-$E$195</f>
        <v>-55.090833999999973</v>
      </c>
      <c r="D206" s="347">
        <f t="shared" si="10"/>
        <v>-12.190833999999995</v>
      </c>
      <c r="E206" s="347">
        <f t="shared" si="10"/>
        <v>30.709166000000039</v>
      </c>
      <c r="F206" s="347">
        <f t="shared" si="10"/>
        <v>73.609166000000073</v>
      </c>
      <c r="G206" s="347">
        <f t="shared" si="10"/>
        <v>116.50916599999999</v>
      </c>
    </row>
    <row r="207" spans="1:13" x14ac:dyDescent="0.2">
      <c r="A207" s="24" t="s">
        <v>20</v>
      </c>
      <c r="B207" s="349">
        <f>C14*1.1</f>
        <v>7.15</v>
      </c>
      <c r="C207" s="347">
        <f t="shared" si="10"/>
        <v>-83.690833999999938</v>
      </c>
      <c r="D207" s="347">
        <f t="shared" si="10"/>
        <v>-44.36583399999995</v>
      </c>
      <c r="E207" s="347">
        <f t="shared" si="10"/>
        <v>-5.0408339999999612</v>
      </c>
      <c r="F207" s="347">
        <f t="shared" si="10"/>
        <v>34.284166000000084</v>
      </c>
      <c r="G207" s="347">
        <f t="shared" si="10"/>
        <v>73.609166000000073</v>
      </c>
    </row>
    <row r="208" spans="1:13" x14ac:dyDescent="0.2">
      <c r="A208" s="22"/>
      <c r="B208" s="349">
        <f>C14</f>
        <v>6.5</v>
      </c>
      <c r="C208" s="347">
        <f t="shared" si="10"/>
        <v>-112.29083399999996</v>
      </c>
      <c r="D208" s="347">
        <f t="shared" si="10"/>
        <v>-76.540833999999961</v>
      </c>
      <c r="E208" s="348">
        <f t="shared" si="10"/>
        <v>-40.790833999999961</v>
      </c>
      <c r="F208" s="347">
        <f t="shared" si="10"/>
        <v>-5.0408339999999043</v>
      </c>
      <c r="G208" s="347">
        <f t="shared" si="10"/>
        <v>30.709166000000039</v>
      </c>
    </row>
    <row r="209" spans="1:7" x14ac:dyDescent="0.2">
      <c r="A209" s="24" t="s">
        <v>22</v>
      </c>
      <c r="B209" s="349">
        <f>C14*0.9</f>
        <v>5.8500000000000005</v>
      </c>
      <c r="C209" s="347">
        <f t="shared" si="10"/>
        <v>-140.89083399999993</v>
      </c>
      <c r="D209" s="347">
        <f t="shared" si="10"/>
        <v>-108.71583399999992</v>
      </c>
      <c r="E209" s="347">
        <f t="shared" si="10"/>
        <v>-76.540833999999904</v>
      </c>
      <c r="F209" s="347">
        <f t="shared" si="10"/>
        <v>-44.365833999999893</v>
      </c>
      <c r="G209" s="347">
        <f t="shared" si="10"/>
        <v>-12.190833999999938</v>
      </c>
    </row>
    <row r="210" spans="1:7" x14ac:dyDescent="0.2">
      <c r="A210" s="24" t="s">
        <v>23</v>
      </c>
      <c r="B210" s="349">
        <f>C14*0.8</f>
        <v>5.2</v>
      </c>
      <c r="C210" s="347">
        <f t="shared" si="10"/>
        <v>-169.49083399999995</v>
      </c>
      <c r="D210" s="347">
        <f t="shared" si="10"/>
        <v>-140.89083399999993</v>
      </c>
      <c r="E210" s="347">
        <f t="shared" si="10"/>
        <v>-112.29083399999996</v>
      </c>
      <c r="F210" s="347">
        <f t="shared" si="10"/>
        <v>-83.690833999999938</v>
      </c>
      <c r="G210" s="347">
        <f t="shared" si="10"/>
        <v>-55.090833999999973</v>
      </c>
    </row>
    <row r="211" spans="1:7" x14ac:dyDescent="0.2">
      <c r="A211" s="257" t="s">
        <v>414</v>
      </c>
      <c r="B211" s="253"/>
      <c r="C211" s="254">
        <f>D14*0.8</f>
        <v>44</v>
      </c>
      <c r="D211" s="254">
        <f>D14*0.9</f>
        <v>49.5</v>
      </c>
      <c r="E211" s="254">
        <f>D14</f>
        <v>55</v>
      </c>
      <c r="F211" s="254">
        <f>D14*1.1</f>
        <v>60.500000000000007</v>
      </c>
      <c r="G211" s="254">
        <f>D14*1.2</f>
        <v>66</v>
      </c>
    </row>
    <row r="212" spans="1:7" x14ac:dyDescent="0.2">
      <c r="A212" s="257" t="s">
        <v>19</v>
      </c>
      <c r="B212" s="253"/>
      <c r="C212" s="255" t="s">
        <v>23</v>
      </c>
      <c r="D212" s="255" t="s">
        <v>22</v>
      </c>
      <c r="E212" s="256"/>
      <c r="F212" s="255" t="s">
        <v>20</v>
      </c>
      <c r="G212" s="255" t="s">
        <v>21</v>
      </c>
    </row>
  </sheetData>
  <sheetProtection algorithmName="SHA-512" hashValue="8pjj7VMko13IjX/JQo9yQsWYrvuidl0tmiksDy9gg7zccx6c0k/Oww7e5XLp0v8f3ab/9ai6bty0aOSValZ/Bw==" saltValue="jwpM4Ln+6cucANPvi1z+Dw==" spinCount="100000" sheet="1" objects="1" scenarios="1"/>
  <mergeCells count="4">
    <mergeCell ref="C201:G201"/>
    <mergeCell ref="C203:G203"/>
    <mergeCell ref="A204:B204"/>
    <mergeCell ref="C205:G205"/>
  </mergeCells>
  <hyperlinks>
    <hyperlink ref="H134" r:id="rId1" xr:uid="{00000000-0004-0000-0C00-000000000000}"/>
    <hyperlink ref="H141" r:id="rId2" xr:uid="{00000000-0004-0000-0C00-000001000000}"/>
    <hyperlink ref="H135" r:id="rId3" xr:uid="{00000000-0004-0000-0C00-000002000000}"/>
    <hyperlink ref="H138" r:id="rId4" xr:uid="{00000000-0004-0000-0C00-000003000000}"/>
  </hyperlinks>
  <pageMargins left="0.7" right="0.7" top="0.75" bottom="0.75" header="0.3" footer="0.3"/>
  <pageSetup scale="40" fitToHeight="0" orientation="portrait" verticalDpi="0" r:id="rId5"/>
  <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S212"/>
  <sheetViews>
    <sheetView zoomScale="93" zoomScaleNormal="93" workbookViewId="0">
      <selection activeCell="E14" sqref="E14"/>
    </sheetView>
  </sheetViews>
  <sheetFormatPr defaultColWidth="8.42578125" defaultRowHeight="12.75" x14ac:dyDescent="0.2"/>
  <cols>
    <col min="1" max="1" width="26.7109375" customWidth="1"/>
    <col min="2" max="2" width="17.85546875" customWidth="1"/>
    <col min="3" max="3" width="17.42578125" customWidth="1"/>
    <col min="4" max="4" width="15.140625" customWidth="1"/>
    <col min="5" max="5" width="11.28515625" customWidth="1"/>
    <col min="6" max="6" width="10.5703125" customWidth="1"/>
    <col min="7" max="7" width="13.42578125" customWidth="1"/>
    <col min="8" max="9" width="7.42578125" customWidth="1"/>
    <col min="10" max="10" width="8.42578125" customWidth="1"/>
    <col min="11" max="11" width="8" customWidth="1"/>
    <col min="12" max="12" width="13.7109375" customWidth="1"/>
  </cols>
  <sheetData>
    <row r="1" spans="1:14" ht="15.75" customHeight="1" x14ac:dyDescent="0.2">
      <c r="A1" s="20" t="s">
        <v>29</v>
      </c>
      <c r="E1" s="36"/>
    </row>
    <row r="2" spans="1:14" ht="8.25" customHeight="1" x14ac:dyDescent="0.2"/>
    <row r="3" spans="1:14" ht="15" customHeight="1" x14ac:dyDescent="0.2"/>
    <row r="4" spans="1:14" ht="8.25" customHeight="1" x14ac:dyDescent="0.2"/>
    <row r="5" spans="1:14" ht="18.75" customHeight="1" x14ac:dyDescent="0.25">
      <c r="A5" s="2" t="s">
        <v>342</v>
      </c>
      <c r="D5" s="19"/>
      <c r="E5" s="197"/>
    </row>
    <row r="6" spans="1:14" ht="5.25" customHeight="1" x14ac:dyDescent="0.2"/>
    <row r="7" spans="1:14" x14ac:dyDescent="0.2">
      <c r="A7" s="17" t="s">
        <v>83</v>
      </c>
      <c r="E7" s="67"/>
      <c r="I7" s="38"/>
    </row>
    <row r="8" spans="1:14" x14ac:dyDescent="0.2">
      <c r="A8" s="17" t="s">
        <v>228</v>
      </c>
      <c r="E8" s="242"/>
    </row>
    <row r="9" spans="1:14" x14ac:dyDescent="0.2">
      <c r="A9" s="17" t="s">
        <v>71</v>
      </c>
      <c r="E9" s="79"/>
    </row>
    <row r="10" spans="1:14" x14ac:dyDescent="0.2">
      <c r="A10" s="17"/>
      <c r="E10" s="3"/>
    </row>
    <row r="11" spans="1:14" ht="18" x14ac:dyDescent="0.25">
      <c r="A11" s="2" t="s">
        <v>343</v>
      </c>
      <c r="B11" s="345" t="s">
        <v>427</v>
      </c>
      <c r="C11" s="329"/>
    </row>
    <row r="12" spans="1:14" x14ac:dyDescent="0.2">
      <c r="A12" s="119" t="s">
        <v>37</v>
      </c>
      <c r="B12" s="117"/>
      <c r="C12" s="118"/>
      <c r="D12" s="117"/>
      <c r="E12" s="117"/>
      <c r="F12" s="92"/>
    </row>
    <row r="13" spans="1:14" x14ac:dyDescent="0.2">
      <c r="A13" s="17"/>
      <c r="B13" s="7" t="s">
        <v>306</v>
      </c>
      <c r="C13" s="54" t="s">
        <v>307</v>
      </c>
      <c r="D13" s="7" t="s">
        <v>239</v>
      </c>
      <c r="E13" s="7" t="s">
        <v>236</v>
      </c>
      <c r="H13" s="17" t="s">
        <v>170</v>
      </c>
      <c r="I13" s="17"/>
      <c r="J13" s="17"/>
      <c r="K13" s="17"/>
    </row>
    <row r="14" spans="1:14" x14ac:dyDescent="0.2">
      <c r="A14" s="20" t="s">
        <v>216</v>
      </c>
      <c r="B14" s="275">
        <v>0.6</v>
      </c>
      <c r="C14" s="167">
        <v>12</v>
      </c>
      <c r="D14" s="124">
        <v>70</v>
      </c>
      <c r="E14" s="241">
        <f>C14*D14</f>
        <v>840</v>
      </c>
      <c r="H14" s="20" t="s">
        <v>186</v>
      </c>
      <c r="L14" s="124">
        <v>165</v>
      </c>
      <c r="N14" s="20" t="s">
        <v>187</v>
      </c>
    </row>
    <row r="15" spans="1:14" x14ac:dyDescent="0.2">
      <c r="A15" s="20" t="s">
        <v>217</v>
      </c>
      <c r="B15" s="275">
        <v>0</v>
      </c>
      <c r="C15" s="167">
        <v>0</v>
      </c>
      <c r="D15" s="124">
        <v>0</v>
      </c>
      <c r="E15" s="241">
        <f>C15*D15</f>
        <v>0</v>
      </c>
      <c r="H15" s="20" t="s">
        <v>184</v>
      </c>
      <c r="L15" s="330">
        <v>0.5</v>
      </c>
    </row>
    <row r="16" spans="1:14" x14ac:dyDescent="0.2">
      <c r="A16" s="20" t="s">
        <v>214</v>
      </c>
      <c r="C16" s="299">
        <f>C14*(1-B14)</f>
        <v>4.8000000000000007</v>
      </c>
      <c r="E16" s="232"/>
      <c r="H16" s="20" t="s">
        <v>185</v>
      </c>
      <c r="L16" s="241">
        <f>(L14/0.87)*(1-L15)</f>
        <v>94.827586206896555</v>
      </c>
    </row>
    <row r="17" spans="1:18" x14ac:dyDescent="0.2">
      <c r="A17" s="20" t="s">
        <v>215</v>
      </c>
      <c r="C17" s="299">
        <f>C15*(1-B15)</f>
        <v>0</v>
      </c>
      <c r="E17" s="232"/>
      <c r="H17" s="20"/>
      <c r="L17" s="233"/>
    </row>
    <row r="18" spans="1:18" x14ac:dyDescent="0.2">
      <c r="A18" s="152" t="s">
        <v>199</v>
      </c>
      <c r="B18" s="159"/>
      <c r="C18" s="157"/>
      <c r="D18" s="159"/>
      <c r="E18" s="243">
        <f>SUM(E14:E15)</f>
        <v>840</v>
      </c>
    </row>
    <row r="19" spans="1:18" x14ac:dyDescent="0.2">
      <c r="A19" s="119" t="s">
        <v>40</v>
      </c>
      <c r="B19" s="120"/>
      <c r="C19" s="121"/>
      <c r="D19" s="120"/>
      <c r="E19" s="120"/>
      <c r="F19" s="122"/>
    </row>
    <row r="20" spans="1:18" ht="12" customHeight="1" x14ac:dyDescent="0.2">
      <c r="A20" s="17"/>
      <c r="B20" s="4"/>
      <c r="C20" s="3"/>
      <c r="D20" s="4"/>
      <c r="E20" s="4"/>
    </row>
    <row r="21" spans="1:18" x14ac:dyDescent="0.2">
      <c r="A21" s="111" t="s">
        <v>4</v>
      </c>
      <c r="B21" s="92"/>
      <c r="C21" s="112"/>
      <c r="D21" s="112"/>
      <c r="E21" s="112"/>
      <c r="F21" s="92"/>
    </row>
    <row r="22" spans="1:18" ht="15" customHeight="1" x14ac:dyDescent="0.2">
      <c r="A22" s="98" t="s">
        <v>88</v>
      </c>
      <c r="B22" s="99"/>
      <c r="C22" s="100"/>
      <c r="D22" s="100"/>
      <c r="E22" s="100"/>
      <c r="F22" s="97"/>
      <c r="H22" s="17"/>
      <c r="J22" s="17"/>
      <c r="M22" s="20"/>
    </row>
    <row r="23" spans="1:18" x14ac:dyDescent="0.2">
      <c r="A23" s="33"/>
      <c r="B23" s="7" t="s">
        <v>237</v>
      </c>
      <c r="C23" s="7" t="s">
        <v>238</v>
      </c>
      <c r="D23" s="7" t="s">
        <v>239</v>
      </c>
      <c r="E23" s="7" t="s">
        <v>240</v>
      </c>
      <c r="G23" s="65"/>
      <c r="H23" s="17"/>
      <c r="J23" s="17"/>
      <c r="K23" s="17"/>
      <c r="M23" s="20"/>
    </row>
    <row r="24" spans="1:18" x14ac:dyDescent="0.2">
      <c r="A24" s="39" t="s">
        <v>303</v>
      </c>
      <c r="B24" s="207"/>
      <c r="C24" s="78">
        <v>0</v>
      </c>
      <c r="D24" s="90">
        <v>0</v>
      </c>
      <c r="E24" s="244">
        <f>((D24/2000)*B24*C24)</f>
        <v>0</v>
      </c>
      <c r="G24" s="48"/>
      <c r="H24" s="6"/>
      <c r="I24" s="48"/>
      <c r="J24" s="6"/>
      <c r="O24" s="20"/>
      <c r="P24" s="20"/>
      <c r="Q24" s="20"/>
      <c r="R24" s="20"/>
    </row>
    <row r="25" spans="1:18" x14ac:dyDescent="0.2">
      <c r="A25" s="39"/>
      <c r="B25" s="40"/>
      <c r="C25" s="47"/>
      <c r="D25" s="10"/>
      <c r="E25" s="46"/>
      <c r="G25" s="48"/>
      <c r="H25" s="6"/>
      <c r="I25" s="48"/>
      <c r="J25" s="6"/>
      <c r="O25" s="20"/>
      <c r="P25" s="20"/>
      <c r="Q25" s="20"/>
      <c r="R25" s="20"/>
    </row>
    <row r="26" spans="1:18" x14ac:dyDescent="0.2">
      <c r="A26" s="33"/>
      <c r="C26" s="7" t="s">
        <v>87</v>
      </c>
      <c r="D26" s="7" t="s">
        <v>239</v>
      </c>
      <c r="E26" s="7" t="s">
        <v>240</v>
      </c>
      <c r="G26" s="65"/>
      <c r="H26" s="17"/>
      <c r="J26" s="17"/>
      <c r="K26" s="17"/>
      <c r="M26" s="20"/>
    </row>
    <row r="27" spans="1:18" x14ac:dyDescent="0.2">
      <c r="A27" s="208" t="s">
        <v>171</v>
      </c>
      <c r="B27" s="4"/>
      <c r="C27" s="68">
        <v>50</v>
      </c>
      <c r="D27" s="351">
        <v>520</v>
      </c>
      <c r="E27" s="245">
        <f>C27*(D27/2000)</f>
        <v>13</v>
      </c>
      <c r="G27" s="5"/>
      <c r="H27" s="1"/>
      <c r="J27" s="56"/>
    </row>
    <row r="28" spans="1:18" x14ac:dyDescent="0.2">
      <c r="A28" s="208" t="s">
        <v>66</v>
      </c>
      <c r="B28" s="4"/>
      <c r="C28" s="77"/>
      <c r="D28" s="90">
        <v>0</v>
      </c>
      <c r="E28" s="246">
        <f>C28*(D28/2000)</f>
        <v>0</v>
      </c>
      <c r="G28" s="5"/>
      <c r="H28" s="1"/>
      <c r="J28" s="56"/>
    </row>
    <row r="29" spans="1:18" x14ac:dyDescent="0.2">
      <c r="A29" s="209" t="s">
        <v>66</v>
      </c>
      <c r="B29" s="4"/>
      <c r="C29" s="77"/>
      <c r="D29" s="193"/>
      <c r="E29" s="246">
        <f>C29*(D29/2000)</f>
        <v>0</v>
      </c>
      <c r="G29" s="5"/>
      <c r="H29" s="1"/>
      <c r="J29" s="56"/>
    </row>
    <row r="30" spans="1:18" x14ac:dyDescent="0.2">
      <c r="A30" s="208"/>
      <c r="B30" s="4"/>
      <c r="C30" s="68"/>
      <c r="D30" s="90"/>
      <c r="E30" s="245">
        <f>C30*(D30/2000)</f>
        <v>0</v>
      </c>
      <c r="G30" s="5"/>
      <c r="H30" s="1"/>
      <c r="J30" s="56"/>
    </row>
    <row r="31" spans="1:18" x14ac:dyDescent="0.2">
      <c r="A31" s="94"/>
      <c r="B31" s="4"/>
      <c r="C31" s="42"/>
      <c r="D31" s="93"/>
      <c r="E31" s="93"/>
      <c r="G31" s="5"/>
      <c r="H31" s="1"/>
      <c r="J31" s="56"/>
    </row>
    <row r="32" spans="1:18" ht="14.25" customHeight="1" x14ac:dyDescent="0.2">
      <c r="A32" s="95" t="s">
        <v>135</v>
      </c>
      <c r="B32" s="96"/>
      <c r="C32" s="160"/>
      <c r="D32" s="161"/>
      <c r="E32" s="161"/>
      <c r="F32" s="97"/>
    </row>
    <row r="33" spans="1:12" ht="14.25" customHeight="1" x14ac:dyDescent="0.2">
      <c r="A33" s="48" t="s">
        <v>304</v>
      </c>
      <c r="C33" s="219" t="s">
        <v>68</v>
      </c>
      <c r="D33" s="7" t="s">
        <v>69</v>
      </c>
      <c r="E33" s="7" t="s">
        <v>240</v>
      </c>
    </row>
    <row r="34" spans="1:12" ht="14.25" customHeight="1" x14ac:dyDescent="0.2">
      <c r="A34" s="201" t="s">
        <v>14</v>
      </c>
      <c r="B34" s="40"/>
      <c r="C34" s="68">
        <v>160</v>
      </c>
      <c r="D34" s="90">
        <v>0.6</v>
      </c>
      <c r="E34" s="245">
        <f>C34*D34</f>
        <v>96</v>
      </c>
    </row>
    <row r="35" spans="1:12" ht="14.25" customHeight="1" x14ac:dyDescent="0.2">
      <c r="A35" s="220" t="s">
        <v>15</v>
      </c>
      <c r="B35" s="4"/>
      <c r="C35" s="68"/>
      <c r="D35" s="90"/>
      <c r="E35" s="245">
        <f t="shared" ref="E35:E37" si="0">C35*D35</f>
        <v>0</v>
      </c>
    </row>
    <row r="36" spans="1:12" ht="13.5" customHeight="1" x14ac:dyDescent="0.2">
      <c r="A36" s="220" t="s">
        <v>16</v>
      </c>
      <c r="B36" s="4"/>
      <c r="C36" s="68"/>
      <c r="D36" s="90"/>
      <c r="E36" s="245">
        <f t="shared" si="0"/>
        <v>0</v>
      </c>
      <c r="G36" s="72"/>
      <c r="H36" s="16"/>
      <c r="I36" s="16"/>
      <c r="J36" s="7"/>
      <c r="K36" s="17"/>
      <c r="L36" s="17"/>
    </row>
    <row r="37" spans="1:12" ht="14.25" customHeight="1" x14ac:dyDescent="0.2">
      <c r="A37" s="221" t="s">
        <v>17</v>
      </c>
      <c r="B37" s="4"/>
      <c r="C37" s="68"/>
      <c r="D37" s="90"/>
      <c r="E37" s="246">
        <f t="shared" si="0"/>
        <v>0</v>
      </c>
      <c r="G37" s="5"/>
      <c r="H37" s="6"/>
      <c r="I37" s="6"/>
      <c r="J37" s="6"/>
      <c r="K37" s="6"/>
    </row>
    <row r="38" spans="1:12" ht="14.25" customHeight="1" x14ac:dyDescent="0.2">
      <c r="A38" s="199" t="s">
        <v>86</v>
      </c>
      <c r="B38" s="4"/>
      <c r="C38" s="42"/>
      <c r="D38" s="93"/>
      <c r="E38" s="210">
        <v>0</v>
      </c>
      <c r="G38" s="5"/>
      <c r="H38" s="6"/>
      <c r="I38" s="6"/>
      <c r="J38" s="6"/>
      <c r="K38" s="6"/>
    </row>
    <row r="39" spans="1:12" ht="14.25" customHeight="1" x14ac:dyDescent="0.2">
      <c r="A39" s="82" t="s">
        <v>136</v>
      </c>
      <c r="B39" s="81"/>
      <c r="C39" s="42"/>
      <c r="D39" s="93"/>
      <c r="E39" s="90">
        <v>0</v>
      </c>
      <c r="G39" s="5"/>
      <c r="H39" s="6"/>
      <c r="I39" s="6"/>
      <c r="J39" s="6"/>
      <c r="K39" s="6"/>
    </row>
    <row r="40" spans="1:12" ht="14.25" x14ac:dyDescent="0.25">
      <c r="A40" s="32"/>
      <c r="B40" s="4"/>
      <c r="C40" s="7" t="s">
        <v>193</v>
      </c>
      <c r="D40" s="223" t="s">
        <v>265</v>
      </c>
      <c r="E40" s="46"/>
      <c r="G40" s="65"/>
      <c r="I40" s="6"/>
    </row>
    <row r="41" spans="1:12" x14ac:dyDescent="0.2">
      <c r="A41" s="94" t="s">
        <v>192</v>
      </c>
      <c r="C41" s="68">
        <v>20</v>
      </c>
      <c r="D41" s="210">
        <v>0.81</v>
      </c>
      <c r="E41" s="247">
        <f t="shared" ref="E41" si="1">C41*D41</f>
        <v>16.200000000000003</v>
      </c>
      <c r="G41" s="48"/>
      <c r="H41" s="6"/>
    </row>
    <row r="42" spans="1:12" ht="14.25" customHeight="1" x14ac:dyDescent="0.25">
      <c r="A42" s="39"/>
      <c r="B42" s="4"/>
      <c r="C42" s="7" t="s">
        <v>194</v>
      </c>
      <c r="D42" s="223" t="s">
        <v>264</v>
      </c>
      <c r="E42" s="46"/>
      <c r="G42" s="5"/>
      <c r="H42" s="6"/>
      <c r="K42" s="17"/>
    </row>
    <row r="43" spans="1:12" ht="14.25" customHeight="1" x14ac:dyDescent="0.2">
      <c r="A43" s="222" t="s">
        <v>13</v>
      </c>
      <c r="C43" s="68">
        <v>60</v>
      </c>
      <c r="D43" s="90">
        <v>0.43</v>
      </c>
      <c r="E43" s="245">
        <f>C43*D43</f>
        <v>25.8</v>
      </c>
      <c r="G43" s="72"/>
      <c r="H43" s="16"/>
      <c r="I43" s="73"/>
      <c r="J43" s="73"/>
      <c r="K43" s="7"/>
      <c r="L43" s="7"/>
    </row>
    <row r="44" spans="1:12" ht="14.25" customHeight="1" x14ac:dyDescent="0.2">
      <c r="C44" s="12"/>
      <c r="G44" s="5"/>
      <c r="H44" s="1"/>
      <c r="I44" s="1"/>
      <c r="J44" s="1"/>
      <c r="K44" s="1"/>
      <c r="L44" s="1"/>
    </row>
    <row r="45" spans="1:12" ht="14.25" customHeight="1" x14ac:dyDescent="0.2">
      <c r="A45" s="199" t="s">
        <v>133</v>
      </c>
      <c r="B45" s="4"/>
      <c r="C45" s="9"/>
      <c r="D45" s="10"/>
      <c r="E45" s="90">
        <v>0</v>
      </c>
      <c r="G45" s="5"/>
      <c r="H45" s="6"/>
      <c r="I45" s="6"/>
      <c r="J45" s="6"/>
      <c r="K45" s="6"/>
      <c r="L45" s="6"/>
    </row>
    <row r="46" spans="1:12" ht="14.25" customHeight="1" x14ac:dyDescent="0.2">
      <c r="A46" s="166"/>
      <c r="B46" s="4"/>
      <c r="C46" s="9"/>
      <c r="D46" s="10"/>
      <c r="E46" s="102"/>
      <c r="G46" s="5"/>
      <c r="H46" s="6"/>
      <c r="I46" s="6"/>
      <c r="J46" s="6"/>
      <c r="K46" s="6"/>
      <c r="L46" s="6"/>
    </row>
    <row r="47" spans="1:12" ht="14.25" customHeight="1" x14ac:dyDescent="0.2">
      <c r="A47" s="199" t="s">
        <v>7</v>
      </c>
      <c r="B47" s="4"/>
      <c r="C47" s="9"/>
      <c r="D47" s="10"/>
      <c r="E47" s="90">
        <v>0</v>
      </c>
      <c r="G47" s="5"/>
      <c r="H47" s="6"/>
      <c r="I47" s="6"/>
      <c r="J47" s="6"/>
      <c r="K47" s="6"/>
      <c r="L47" s="6"/>
    </row>
    <row r="48" spans="1:12" ht="14.25" customHeight="1" x14ac:dyDescent="0.2">
      <c r="A48" s="199"/>
      <c r="B48" s="4"/>
      <c r="C48" s="9"/>
      <c r="D48" s="10"/>
      <c r="E48" s="90">
        <v>0</v>
      </c>
      <c r="G48" s="5"/>
      <c r="H48" s="6"/>
      <c r="I48" s="6"/>
      <c r="J48" s="6"/>
      <c r="K48" s="6"/>
      <c r="L48" s="6"/>
    </row>
    <row r="49" spans="1:12" ht="14.25" customHeight="1" x14ac:dyDescent="0.2">
      <c r="A49" s="199"/>
      <c r="B49" s="4"/>
      <c r="C49" s="9"/>
      <c r="D49" s="10"/>
      <c r="E49" s="90">
        <v>0</v>
      </c>
      <c r="G49" s="5"/>
      <c r="H49" s="6"/>
      <c r="I49" s="6"/>
      <c r="J49" s="6"/>
      <c r="K49" s="6"/>
      <c r="L49" s="6"/>
    </row>
    <row r="50" spans="1:12" ht="14.25" customHeight="1" x14ac:dyDescent="0.2">
      <c r="A50" s="33" t="s">
        <v>247</v>
      </c>
      <c r="B50" s="101"/>
      <c r="C50" s="219" t="s">
        <v>72</v>
      </c>
      <c r="D50" s="54" t="s">
        <v>255</v>
      </c>
      <c r="E50" s="10"/>
      <c r="G50" s="5"/>
      <c r="H50" s="6"/>
      <c r="I50" s="6"/>
      <c r="J50" s="6"/>
      <c r="K50" s="6"/>
      <c r="L50" s="6"/>
    </row>
    <row r="51" spans="1:12" ht="14.25" customHeight="1" x14ac:dyDescent="0.2">
      <c r="A51" s="199" t="s">
        <v>89</v>
      </c>
      <c r="B51" s="4"/>
      <c r="C51" s="68">
        <v>1</v>
      </c>
      <c r="D51" s="90">
        <v>9</v>
      </c>
      <c r="E51" s="245">
        <f>D51*C51</f>
        <v>9</v>
      </c>
      <c r="G51" s="5"/>
      <c r="H51" s="6"/>
      <c r="I51" s="6"/>
      <c r="J51" s="6"/>
      <c r="K51" s="6"/>
      <c r="L51" s="6"/>
    </row>
    <row r="52" spans="1:12" ht="14.25" customHeight="1" x14ac:dyDescent="0.2">
      <c r="A52" s="199"/>
      <c r="B52" s="4"/>
      <c r="C52" s="68"/>
      <c r="D52" s="90"/>
      <c r="E52" s="245">
        <f t="shared" ref="E52:E53" si="2">D52*C52</f>
        <v>0</v>
      </c>
      <c r="G52" s="5"/>
      <c r="H52" s="6"/>
      <c r="I52" s="6"/>
      <c r="J52" s="6"/>
      <c r="K52" s="6"/>
      <c r="L52" s="6"/>
    </row>
    <row r="53" spans="1:12" ht="14.25" customHeight="1" x14ac:dyDescent="0.2">
      <c r="A53" s="199"/>
      <c r="B53" s="4"/>
      <c r="C53" s="68"/>
      <c r="D53" s="90"/>
      <c r="E53" s="245">
        <f t="shared" si="2"/>
        <v>0</v>
      </c>
      <c r="G53" s="5"/>
      <c r="H53" s="6"/>
      <c r="I53" s="6"/>
      <c r="J53" s="6"/>
      <c r="K53" s="6"/>
      <c r="L53" s="6"/>
    </row>
    <row r="54" spans="1:12" ht="14.25" customHeight="1" x14ac:dyDescent="0.2">
      <c r="A54" s="33"/>
      <c r="B54" s="4"/>
      <c r="C54" s="9"/>
      <c r="D54" s="10"/>
      <c r="E54" s="10"/>
      <c r="G54" s="5"/>
      <c r="H54" s="6"/>
      <c r="I54" s="6"/>
      <c r="J54" s="6"/>
      <c r="K54" s="6"/>
      <c r="L54" s="6"/>
    </row>
    <row r="55" spans="1:12" x14ac:dyDescent="0.2">
      <c r="B55" s="7" t="s">
        <v>262</v>
      </c>
      <c r="C55" s="7" t="s">
        <v>263</v>
      </c>
      <c r="D55" s="54" t="s">
        <v>239</v>
      </c>
      <c r="E55" s="7" t="s">
        <v>240</v>
      </c>
    </row>
    <row r="56" spans="1:12" x14ac:dyDescent="0.2">
      <c r="A56" s="4" t="s">
        <v>80</v>
      </c>
      <c r="B56" s="211">
        <v>3</v>
      </c>
      <c r="C56" s="69">
        <v>0</v>
      </c>
      <c r="D56" s="124">
        <v>29</v>
      </c>
      <c r="E56" s="245">
        <f>(D56*C56)/B56</f>
        <v>0</v>
      </c>
      <c r="H56" s="80"/>
    </row>
    <row r="57" spans="1:12" x14ac:dyDescent="0.2">
      <c r="A57" s="15"/>
      <c r="B57" s="40"/>
      <c r="C57" s="125"/>
      <c r="D57" s="224" t="s">
        <v>240</v>
      </c>
      <c r="E57" s="102"/>
      <c r="H57" s="80"/>
    </row>
    <row r="58" spans="1:12" x14ac:dyDescent="0.2">
      <c r="A58" s="33" t="s">
        <v>98</v>
      </c>
      <c r="B58" s="4"/>
      <c r="C58" s="123"/>
      <c r="D58" s="124">
        <v>0</v>
      </c>
      <c r="E58" s="245">
        <f>D58/B56</f>
        <v>0</v>
      </c>
      <c r="H58" s="80"/>
    </row>
    <row r="59" spans="1:12" x14ac:dyDescent="0.2">
      <c r="A59" s="15"/>
      <c r="B59" s="84"/>
      <c r="C59" s="20"/>
      <c r="D59" s="1"/>
      <c r="E59" s="6"/>
      <c r="H59" s="80"/>
    </row>
    <row r="60" spans="1:12" x14ac:dyDescent="0.2">
      <c r="A60" s="152" t="s">
        <v>197</v>
      </c>
      <c r="B60" s="159"/>
      <c r="C60" s="159"/>
      <c r="D60" s="159"/>
      <c r="E60" s="243">
        <f>SUM(E24:E59)</f>
        <v>160</v>
      </c>
      <c r="G60" s="33"/>
      <c r="H60" s="33"/>
    </row>
    <row r="61" spans="1:12" x14ac:dyDescent="0.2">
      <c r="A61" s="111" t="s">
        <v>94</v>
      </c>
      <c r="B61" s="92"/>
      <c r="C61" s="92"/>
      <c r="D61" s="92"/>
      <c r="E61" s="92"/>
      <c r="F61" s="92"/>
      <c r="G61" s="33"/>
      <c r="H61" s="33"/>
    </row>
    <row r="62" spans="1:12" x14ac:dyDescent="0.2">
      <c r="A62" s="20"/>
      <c r="B62" s="1"/>
      <c r="G62" s="33"/>
      <c r="H62" s="33"/>
    </row>
    <row r="63" spans="1:12" x14ac:dyDescent="0.2">
      <c r="A63" s="18"/>
      <c r="B63" s="4"/>
      <c r="C63" s="54" t="s">
        <v>313</v>
      </c>
      <c r="D63" s="54" t="s">
        <v>314</v>
      </c>
      <c r="E63" s="7" t="s">
        <v>240</v>
      </c>
      <c r="G63" s="33"/>
      <c r="H63" s="33"/>
    </row>
    <row r="64" spans="1:12" x14ac:dyDescent="0.2">
      <c r="A64" s="199" t="s">
        <v>409</v>
      </c>
      <c r="B64" s="40"/>
      <c r="C64" s="68">
        <v>25</v>
      </c>
      <c r="D64" s="169">
        <v>135</v>
      </c>
      <c r="E64" s="245">
        <f>((C64/50)*D64)</f>
        <v>67.5</v>
      </c>
      <c r="G64" s="33"/>
      <c r="H64" s="33"/>
    </row>
    <row r="65" spans="1:8" x14ac:dyDescent="0.2">
      <c r="A65" s="199"/>
      <c r="B65" s="40"/>
      <c r="C65" s="68"/>
      <c r="D65" s="169"/>
      <c r="E65" s="245">
        <f>((C65/50)*D65)</f>
        <v>0</v>
      </c>
      <c r="G65" s="33"/>
      <c r="H65" s="33"/>
    </row>
    <row r="66" spans="1:8" x14ac:dyDescent="0.2">
      <c r="A66" s="199"/>
      <c r="B66" s="40"/>
      <c r="C66" s="68"/>
      <c r="D66" s="169"/>
      <c r="E66" s="245">
        <f>((C66/50)*D66)</f>
        <v>0</v>
      </c>
      <c r="G66" s="33"/>
      <c r="H66" s="33"/>
    </row>
    <row r="67" spans="1:8" x14ac:dyDescent="0.2">
      <c r="A67" s="60"/>
      <c r="B67" s="40"/>
      <c r="C67" s="68"/>
      <c r="D67" s="169"/>
      <c r="E67" s="245">
        <f>((C67/50)*D67)</f>
        <v>0</v>
      </c>
      <c r="G67" s="33"/>
      <c r="H67" s="33"/>
    </row>
    <row r="68" spans="1:8" x14ac:dyDescent="0.2">
      <c r="A68" s="5"/>
      <c r="B68" s="5"/>
      <c r="C68" s="7" t="s">
        <v>298</v>
      </c>
      <c r="D68" s="54" t="s">
        <v>235</v>
      </c>
      <c r="E68" s="7" t="s">
        <v>240</v>
      </c>
    </row>
    <row r="69" spans="1:8" x14ac:dyDescent="0.2">
      <c r="A69" s="48" t="s">
        <v>173</v>
      </c>
      <c r="B69" s="48"/>
      <c r="C69" s="77">
        <v>0</v>
      </c>
      <c r="D69" s="170"/>
      <c r="E69" s="248">
        <f>D69*C69</f>
        <v>0</v>
      </c>
    </row>
    <row r="70" spans="1:8" x14ac:dyDescent="0.2">
      <c r="A70" s="48" t="s">
        <v>81</v>
      </c>
      <c r="B70" s="48"/>
      <c r="C70" s="68"/>
      <c r="D70" s="169"/>
      <c r="E70" s="324">
        <f>D70*C70</f>
        <v>0</v>
      </c>
    </row>
    <row r="71" spans="1:8" x14ac:dyDescent="0.2">
      <c r="A71" s="48"/>
      <c r="B71" s="48"/>
      <c r="C71" s="225" t="s">
        <v>260</v>
      </c>
      <c r="D71" s="234" t="s">
        <v>261</v>
      </c>
      <c r="E71" s="227" t="s">
        <v>240</v>
      </c>
    </row>
    <row r="72" spans="1:8" x14ac:dyDescent="0.2">
      <c r="A72" s="48" t="s">
        <v>81</v>
      </c>
      <c r="B72" s="48"/>
      <c r="C72" s="68"/>
      <c r="D72" s="169"/>
      <c r="E72" s="324">
        <f>D72*C72</f>
        <v>0</v>
      </c>
    </row>
    <row r="73" spans="1:8" x14ac:dyDescent="0.2">
      <c r="A73" s="146" t="s">
        <v>196</v>
      </c>
      <c r="B73" s="153"/>
      <c r="C73" s="158"/>
      <c r="D73" s="157"/>
      <c r="E73" s="249">
        <f>E64+E69+E70+E72</f>
        <v>67.5</v>
      </c>
    </row>
    <row r="74" spans="1:8" x14ac:dyDescent="0.2">
      <c r="A74" s="110" t="s">
        <v>92</v>
      </c>
      <c r="B74" s="106"/>
      <c r="C74" s="107"/>
      <c r="D74" s="108"/>
      <c r="E74" s="145"/>
      <c r="F74" s="92"/>
    </row>
    <row r="75" spans="1:8" x14ac:dyDescent="0.2">
      <c r="A75" s="65" t="s">
        <v>2</v>
      </c>
      <c r="B75" s="4"/>
      <c r="C75" s="162"/>
      <c r="D75" s="83"/>
      <c r="E75" s="8" t="s">
        <v>67</v>
      </c>
      <c r="G75" s="31"/>
      <c r="H75" s="31"/>
    </row>
    <row r="76" spans="1:8" x14ac:dyDescent="0.2">
      <c r="A76" s="33" t="s">
        <v>126</v>
      </c>
      <c r="B76" s="4"/>
      <c r="C76" s="162"/>
      <c r="D76" s="83"/>
      <c r="E76" s="217">
        <v>0</v>
      </c>
      <c r="G76" s="31"/>
      <c r="H76" s="31"/>
    </row>
    <row r="77" spans="1:8" x14ac:dyDescent="0.2">
      <c r="A77" s="40" t="s">
        <v>99</v>
      </c>
      <c r="B77" s="4"/>
      <c r="C77" s="162"/>
      <c r="D77" s="83"/>
      <c r="E77" s="90">
        <v>0</v>
      </c>
      <c r="G77" s="31"/>
      <c r="H77" s="31"/>
    </row>
    <row r="78" spans="1:8" x14ac:dyDescent="0.2">
      <c r="A78" s="33" t="s">
        <v>127</v>
      </c>
      <c r="B78" s="4"/>
      <c r="C78" s="9"/>
      <c r="D78" s="163"/>
      <c r="E78" s="90">
        <v>0</v>
      </c>
      <c r="G78" s="31"/>
      <c r="H78" s="31"/>
    </row>
    <row r="79" spans="1:8" x14ac:dyDescent="0.2">
      <c r="A79" s="40" t="s">
        <v>99</v>
      </c>
      <c r="B79" s="4"/>
      <c r="C79" s="9"/>
      <c r="D79" s="163"/>
      <c r="E79" s="90">
        <v>0</v>
      </c>
      <c r="G79" s="31"/>
      <c r="H79" s="31"/>
    </row>
    <row r="80" spans="1:8" x14ac:dyDescent="0.2">
      <c r="A80" s="33" t="s">
        <v>128</v>
      </c>
      <c r="B80" s="4"/>
      <c r="C80" s="9"/>
      <c r="D80" s="163"/>
      <c r="E80" s="90">
        <v>0</v>
      </c>
      <c r="G80" s="31"/>
      <c r="H80" s="31"/>
    </row>
    <row r="81" spans="1:8" x14ac:dyDescent="0.2">
      <c r="A81" s="40" t="s">
        <v>99</v>
      </c>
      <c r="B81" s="4"/>
      <c r="C81" s="9"/>
      <c r="D81" s="163"/>
      <c r="E81" s="90">
        <v>0</v>
      </c>
      <c r="G81" s="31"/>
      <c r="H81" s="31"/>
    </row>
    <row r="82" spans="1:8" x14ac:dyDescent="0.2">
      <c r="A82" s="143" t="s">
        <v>129</v>
      </c>
      <c r="B82" s="3"/>
      <c r="C82" s="42"/>
      <c r="D82" s="164"/>
      <c r="E82" s="90">
        <v>0</v>
      </c>
      <c r="G82" s="30"/>
      <c r="H82" s="30"/>
    </row>
    <row r="83" spans="1:8" x14ac:dyDescent="0.2">
      <c r="A83" s="143" t="s">
        <v>99</v>
      </c>
      <c r="B83" s="3"/>
      <c r="C83" s="42"/>
      <c r="D83" s="164"/>
      <c r="E83" s="90">
        <v>0</v>
      </c>
      <c r="G83" s="20"/>
      <c r="H83" s="20"/>
    </row>
    <row r="84" spans="1:8" x14ac:dyDescent="0.2">
      <c r="A84" s="65" t="s">
        <v>8</v>
      </c>
      <c r="B84" s="4"/>
      <c r="C84" s="9"/>
      <c r="D84" s="3"/>
      <c r="E84" s="169">
        <v>0</v>
      </c>
    </row>
    <row r="85" spans="1:8" x14ac:dyDescent="0.2">
      <c r="A85" s="40" t="s">
        <v>130</v>
      </c>
      <c r="B85" s="4"/>
      <c r="C85" s="9"/>
      <c r="D85" s="3"/>
      <c r="E85" s="169">
        <v>0</v>
      </c>
    </row>
    <row r="86" spans="1:8" x14ac:dyDescent="0.2">
      <c r="A86" s="40" t="s">
        <v>99</v>
      </c>
      <c r="B86" s="4"/>
      <c r="C86" s="9"/>
      <c r="D86" s="3"/>
      <c r="E86" s="169">
        <v>0</v>
      </c>
    </row>
    <row r="87" spans="1:8" x14ac:dyDescent="0.2">
      <c r="A87" s="37" t="s">
        <v>131</v>
      </c>
      <c r="B87" s="3"/>
      <c r="C87" s="42"/>
      <c r="D87" s="164"/>
      <c r="E87" s="90">
        <v>0</v>
      </c>
    </row>
    <row r="88" spans="1:8" x14ac:dyDescent="0.2">
      <c r="A88" s="37" t="s">
        <v>99</v>
      </c>
      <c r="B88" s="3"/>
      <c r="C88" s="42"/>
      <c r="D88" s="164"/>
      <c r="E88" s="90">
        <v>0</v>
      </c>
    </row>
    <row r="89" spans="1:8" x14ac:dyDescent="0.2">
      <c r="A89" s="37" t="s">
        <v>131</v>
      </c>
      <c r="B89" s="3"/>
      <c r="C89" s="42"/>
      <c r="D89" s="164"/>
      <c r="E89" s="90">
        <v>0</v>
      </c>
    </row>
    <row r="90" spans="1:8" x14ac:dyDescent="0.2">
      <c r="A90" s="37" t="s">
        <v>99</v>
      </c>
      <c r="B90" s="3"/>
      <c r="C90" s="42"/>
      <c r="D90" s="164"/>
      <c r="E90" s="90">
        <v>0</v>
      </c>
    </row>
    <row r="91" spans="1:8" x14ac:dyDescent="0.2">
      <c r="A91" s="65" t="s">
        <v>12</v>
      </c>
      <c r="B91" s="4"/>
      <c r="C91" s="9"/>
      <c r="D91" s="3"/>
      <c r="E91" s="169">
        <v>0</v>
      </c>
    </row>
    <row r="92" spans="1:8" ht="13.5" customHeight="1" x14ac:dyDescent="0.2">
      <c r="A92" s="37" t="s">
        <v>175</v>
      </c>
      <c r="B92" s="3"/>
      <c r="C92" s="42"/>
      <c r="D92" s="164"/>
      <c r="E92" s="90">
        <v>0</v>
      </c>
      <c r="H92" s="20"/>
    </row>
    <row r="93" spans="1:8" x14ac:dyDescent="0.2">
      <c r="A93" s="37" t="s">
        <v>99</v>
      </c>
      <c r="B93" s="3"/>
      <c r="C93" s="42"/>
      <c r="D93" s="164"/>
      <c r="E93" s="90">
        <v>0</v>
      </c>
    </row>
    <row r="94" spans="1:8" x14ac:dyDescent="0.2">
      <c r="A94" s="37" t="s">
        <v>176</v>
      </c>
      <c r="B94" s="3"/>
      <c r="C94" s="42"/>
      <c r="D94" s="164"/>
      <c r="E94" s="90">
        <v>0</v>
      </c>
    </row>
    <row r="95" spans="1:8" x14ac:dyDescent="0.2">
      <c r="A95" s="37" t="s">
        <v>99</v>
      </c>
      <c r="B95" s="3"/>
      <c r="C95" s="42"/>
      <c r="D95" s="164"/>
      <c r="E95" s="90">
        <v>0</v>
      </c>
    </row>
    <row r="96" spans="1:8" x14ac:dyDescent="0.2">
      <c r="A96" s="37" t="s">
        <v>177</v>
      </c>
      <c r="B96" s="3"/>
      <c r="C96" s="42"/>
      <c r="D96" s="164"/>
      <c r="E96" s="90">
        <v>0</v>
      </c>
    </row>
    <row r="97" spans="1:8" x14ac:dyDescent="0.2">
      <c r="A97" s="37" t="s">
        <v>99</v>
      </c>
      <c r="B97" s="3"/>
      <c r="C97" s="42"/>
      <c r="D97" s="164"/>
      <c r="E97" s="90">
        <v>0</v>
      </c>
    </row>
    <row r="98" spans="1:8" x14ac:dyDescent="0.2">
      <c r="A98" s="143" t="s">
        <v>30</v>
      </c>
      <c r="B98" s="3"/>
      <c r="C98" s="42"/>
      <c r="D98" s="164"/>
      <c r="E98" s="90">
        <v>0</v>
      </c>
    </row>
    <row r="99" spans="1:8" x14ac:dyDescent="0.2">
      <c r="A99" s="143" t="s">
        <v>31</v>
      </c>
      <c r="B99" s="3"/>
      <c r="C99" s="42"/>
      <c r="D99" s="164"/>
      <c r="E99" s="90">
        <v>0</v>
      </c>
    </row>
    <row r="100" spans="1:8" x14ac:dyDescent="0.2">
      <c r="A100" s="156" t="s">
        <v>198</v>
      </c>
      <c r="B100" s="157"/>
      <c r="C100" s="148"/>
      <c r="D100" s="165"/>
      <c r="E100" s="250">
        <f>SUM(E76:E99)</f>
        <v>0</v>
      </c>
    </row>
    <row r="101" spans="1:8" x14ac:dyDescent="0.2">
      <c r="A101" s="131" t="s">
        <v>10</v>
      </c>
      <c r="B101" s="105"/>
      <c r="C101" s="130"/>
      <c r="D101" s="109"/>
      <c r="E101" s="109"/>
      <c r="F101" s="92"/>
    </row>
    <row r="102" spans="1:8" x14ac:dyDescent="0.2">
      <c r="A102" s="144"/>
      <c r="B102" s="3"/>
      <c r="C102" s="9"/>
      <c r="D102" s="10"/>
      <c r="E102" s="7" t="s">
        <v>240</v>
      </c>
    </row>
    <row r="103" spans="1:8" x14ac:dyDescent="0.2">
      <c r="A103" s="143" t="s">
        <v>118</v>
      </c>
      <c r="B103" s="3"/>
      <c r="C103" s="42"/>
      <c r="D103" s="43"/>
      <c r="E103" s="90">
        <v>0</v>
      </c>
    </row>
    <row r="104" spans="1:8" x14ac:dyDescent="0.2">
      <c r="A104" s="143"/>
      <c r="B104" s="3"/>
      <c r="C104" s="225" t="s">
        <v>116</v>
      </c>
      <c r="D104" s="226" t="s">
        <v>257</v>
      </c>
      <c r="E104" s="7" t="s">
        <v>240</v>
      </c>
    </row>
    <row r="105" spans="1:8" x14ac:dyDescent="0.2">
      <c r="A105" s="20" t="s">
        <v>115</v>
      </c>
      <c r="B105" s="5"/>
      <c r="C105" s="150">
        <v>0</v>
      </c>
      <c r="D105" s="151">
        <v>5.5</v>
      </c>
      <c r="E105" s="246">
        <f>+C105*D105</f>
        <v>0</v>
      </c>
    </row>
    <row r="106" spans="1:8" x14ac:dyDescent="0.2">
      <c r="A106" s="152" t="s">
        <v>117</v>
      </c>
      <c r="B106" s="153"/>
      <c r="C106" s="154"/>
      <c r="D106" s="155"/>
      <c r="E106" s="250">
        <f>E105+E103</f>
        <v>0</v>
      </c>
    </row>
    <row r="107" spans="1:8" ht="15" x14ac:dyDescent="0.25">
      <c r="A107" s="110" t="s">
        <v>93</v>
      </c>
      <c r="B107" s="103"/>
      <c r="C107" s="104"/>
      <c r="D107" s="105"/>
      <c r="E107" s="105"/>
      <c r="F107" s="92"/>
      <c r="H107" s="129"/>
    </row>
    <row r="108" spans="1:8" ht="13.5" customHeight="1" x14ac:dyDescent="0.2">
      <c r="A108" s="18"/>
      <c r="B108" s="4"/>
      <c r="C108" s="3"/>
      <c r="D108" s="3"/>
      <c r="E108" s="7" t="s">
        <v>240</v>
      </c>
    </row>
    <row r="109" spans="1:8" ht="13.5" customHeight="1" x14ac:dyDescent="0.2">
      <c r="A109" s="33" t="s">
        <v>232</v>
      </c>
      <c r="B109" s="4"/>
      <c r="C109" s="3"/>
      <c r="D109" s="3"/>
      <c r="E109" s="173">
        <v>0</v>
      </c>
    </row>
    <row r="110" spans="1:8" x14ac:dyDescent="0.2">
      <c r="A110" s="33" t="s">
        <v>28</v>
      </c>
      <c r="B110" s="4"/>
      <c r="C110" s="42"/>
      <c r="D110" s="43"/>
      <c r="E110" s="90">
        <v>0</v>
      </c>
    </row>
    <row r="111" spans="1:8" x14ac:dyDescent="0.2">
      <c r="A111" s="33" t="s">
        <v>102</v>
      </c>
      <c r="B111" s="4"/>
      <c r="C111" s="42"/>
      <c r="D111" s="43"/>
      <c r="E111" s="90">
        <v>0</v>
      </c>
    </row>
    <row r="112" spans="1:8" ht="15" x14ac:dyDescent="0.25">
      <c r="A112" s="33" t="s">
        <v>91</v>
      </c>
      <c r="B112" s="40" t="s">
        <v>233</v>
      </c>
      <c r="C112" s="42"/>
      <c r="D112" s="43"/>
      <c r="E112" s="90">
        <v>0</v>
      </c>
      <c r="H112" s="128"/>
    </row>
    <row r="113" spans="1:8" ht="15" x14ac:dyDescent="0.25">
      <c r="A113" s="33" t="s">
        <v>101</v>
      </c>
      <c r="B113" s="40"/>
      <c r="C113" s="42"/>
      <c r="D113" s="43"/>
      <c r="E113" s="193">
        <v>2.5</v>
      </c>
      <c r="H113" s="128"/>
    </row>
    <row r="114" spans="1:8" x14ac:dyDescent="0.2">
      <c r="A114" s="146" t="s">
        <v>120</v>
      </c>
      <c r="B114" s="147"/>
      <c r="C114" s="148"/>
      <c r="D114" s="149"/>
      <c r="E114" s="250">
        <f>SUM(E109:E113)</f>
        <v>2.5</v>
      </c>
    </row>
    <row r="115" spans="1:8" x14ac:dyDescent="0.2">
      <c r="A115" s="92"/>
      <c r="B115" s="103"/>
      <c r="C115" s="135"/>
      <c r="D115" s="136"/>
      <c r="E115" s="133"/>
      <c r="F115" s="92"/>
    </row>
    <row r="116" spans="1:8" x14ac:dyDescent="0.2">
      <c r="A116" s="287" t="s">
        <v>202</v>
      </c>
      <c r="B116" s="288"/>
      <c r="C116" s="289"/>
      <c r="D116" s="290"/>
      <c r="E116" s="250">
        <f>E60+E73+E100+E106+E114</f>
        <v>230</v>
      </c>
    </row>
    <row r="117" spans="1:8" x14ac:dyDescent="0.2">
      <c r="A117" s="14"/>
      <c r="B117" s="3"/>
      <c r="C117" s="9"/>
      <c r="D117" s="10"/>
      <c r="E117" s="126"/>
    </row>
    <row r="118" spans="1:8" x14ac:dyDescent="0.2">
      <c r="A118" s="111" t="s">
        <v>100</v>
      </c>
      <c r="B118" s="92"/>
      <c r="C118" s="127"/>
      <c r="D118" s="103"/>
      <c r="E118" s="92"/>
      <c r="F118" s="92"/>
    </row>
    <row r="119" spans="1:8" x14ac:dyDescent="0.2">
      <c r="A119" s="11" t="s">
        <v>121</v>
      </c>
      <c r="C119" s="219" t="s">
        <v>256</v>
      </c>
      <c r="D119" s="228" t="s">
        <v>255</v>
      </c>
      <c r="E119" s="7" t="s">
        <v>240</v>
      </c>
    </row>
    <row r="120" spans="1:8" x14ac:dyDescent="0.2">
      <c r="A120" s="199" t="s">
        <v>82</v>
      </c>
      <c r="B120" s="4"/>
      <c r="C120" s="68">
        <v>0</v>
      </c>
      <c r="D120" s="89">
        <v>20</v>
      </c>
      <c r="E120" s="241">
        <f>C120*D120</f>
        <v>0</v>
      </c>
    </row>
    <row r="121" spans="1:8" x14ac:dyDescent="0.2">
      <c r="A121" s="199" t="s">
        <v>9</v>
      </c>
      <c r="B121" s="4"/>
      <c r="C121" s="68">
        <v>0</v>
      </c>
      <c r="D121" s="90">
        <v>17.5</v>
      </c>
      <c r="E121" s="241">
        <f t="shared" ref="E121:E128" si="3">C121*D121</f>
        <v>0</v>
      </c>
    </row>
    <row r="122" spans="1:8" x14ac:dyDescent="0.2">
      <c r="A122" s="199" t="s">
        <v>403</v>
      </c>
      <c r="B122" s="4"/>
      <c r="C122" s="68">
        <v>1</v>
      </c>
      <c r="D122" s="90">
        <v>35</v>
      </c>
      <c r="E122" s="241">
        <f t="shared" si="3"/>
        <v>35</v>
      </c>
    </row>
    <row r="123" spans="1:8" x14ac:dyDescent="0.2">
      <c r="A123" s="199"/>
      <c r="B123" s="4"/>
      <c r="C123" s="68"/>
      <c r="D123" s="90">
        <v>0</v>
      </c>
      <c r="E123" s="241">
        <f t="shared" si="3"/>
        <v>0</v>
      </c>
    </row>
    <row r="124" spans="1:8" x14ac:dyDescent="0.2">
      <c r="A124" s="199"/>
      <c r="B124" s="4"/>
      <c r="C124" s="68"/>
      <c r="D124" s="90">
        <v>0</v>
      </c>
      <c r="E124" s="241">
        <f t="shared" si="3"/>
        <v>0</v>
      </c>
    </row>
    <row r="125" spans="1:8" ht="14.25" customHeight="1" x14ac:dyDescent="0.2">
      <c r="A125" s="213" t="s">
        <v>108</v>
      </c>
      <c r="B125" s="4"/>
      <c r="C125" s="68">
        <v>0</v>
      </c>
      <c r="D125" s="90">
        <v>18</v>
      </c>
      <c r="E125" s="241">
        <f t="shared" si="3"/>
        <v>0</v>
      </c>
    </row>
    <row r="126" spans="1:8" ht="14.25" customHeight="1" x14ac:dyDescent="0.2">
      <c r="A126" s="213"/>
      <c r="B126" s="4"/>
      <c r="C126" s="68"/>
      <c r="D126" s="90">
        <v>0</v>
      </c>
      <c r="E126" s="241">
        <v>0</v>
      </c>
    </row>
    <row r="127" spans="1:8" ht="14.25" customHeight="1" x14ac:dyDescent="0.2">
      <c r="A127" s="213"/>
      <c r="B127" s="4"/>
      <c r="C127" s="68"/>
      <c r="D127" s="90">
        <v>0</v>
      </c>
      <c r="E127" s="241">
        <v>0</v>
      </c>
    </row>
    <row r="128" spans="1:8" ht="12" customHeight="1" x14ac:dyDescent="0.2">
      <c r="A128" s="213"/>
      <c r="B128" s="3"/>
      <c r="C128" s="68"/>
      <c r="D128" s="90">
        <v>0</v>
      </c>
      <c r="E128" s="241">
        <f t="shared" si="3"/>
        <v>0</v>
      </c>
    </row>
    <row r="129" spans="1:19" ht="12.75" customHeight="1" x14ac:dyDescent="0.2">
      <c r="A129" s="199"/>
      <c r="B129" s="292"/>
      <c r="C129" s="68"/>
      <c r="D129" s="90">
        <v>0</v>
      </c>
      <c r="E129" s="245">
        <f>C129*D129</f>
        <v>0</v>
      </c>
    </row>
    <row r="130" spans="1:19" ht="12" customHeight="1" x14ac:dyDescent="0.2">
      <c r="A130" s="287" t="s">
        <v>183</v>
      </c>
      <c r="B130" s="288"/>
      <c r="C130" s="289"/>
      <c r="D130" s="291"/>
      <c r="E130" s="250">
        <f>SUM(E120:E129)</f>
        <v>35</v>
      </c>
      <c r="H130" s="322" t="s">
        <v>336</v>
      </c>
    </row>
    <row r="131" spans="1:19" ht="12" customHeight="1" x14ac:dyDescent="0.2">
      <c r="A131" s="8"/>
      <c r="B131" s="3"/>
      <c r="C131" s="9"/>
      <c r="D131" s="3"/>
      <c r="E131" s="126"/>
      <c r="H131" s="323" t="s">
        <v>355</v>
      </c>
    </row>
    <row r="132" spans="1:19" ht="12.75" customHeight="1" x14ac:dyDescent="0.2">
      <c r="A132" s="14" t="s">
        <v>220</v>
      </c>
      <c r="B132" s="3"/>
      <c r="C132" s="7" t="s">
        <v>312</v>
      </c>
      <c r="D132" s="7" t="s">
        <v>255</v>
      </c>
      <c r="E132" s="7" t="s">
        <v>240</v>
      </c>
    </row>
    <row r="133" spans="1:19" ht="12.75" customHeight="1" x14ac:dyDescent="0.2">
      <c r="A133" s="196" t="s">
        <v>346</v>
      </c>
      <c r="B133" s="3"/>
      <c r="C133" s="68">
        <v>4</v>
      </c>
      <c r="D133" s="91">
        <v>18</v>
      </c>
      <c r="E133" s="245">
        <f>C133*D133</f>
        <v>72</v>
      </c>
      <c r="H133" s="322" t="s">
        <v>334</v>
      </c>
    </row>
    <row r="134" spans="1:19" ht="12.75" customHeight="1" x14ac:dyDescent="0.2">
      <c r="A134" s="199" t="s">
        <v>347</v>
      </c>
      <c r="B134" s="40"/>
      <c r="C134" s="68">
        <v>4</v>
      </c>
      <c r="D134" s="91">
        <v>18</v>
      </c>
      <c r="E134" s="245">
        <f t="shared" ref="E134:E140" si="4">C134*D134</f>
        <v>72</v>
      </c>
      <c r="H134" s="323" t="s">
        <v>335</v>
      </c>
      <c r="S134" s="4"/>
    </row>
    <row r="135" spans="1:19" ht="12.75" customHeight="1" x14ac:dyDescent="0.2">
      <c r="A135" s="199" t="s">
        <v>348</v>
      </c>
      <c r="B135" s="4"/>
      <c r="C135" s="68">
        <v>4</v>
      </c>
      <c r="D135" s="91">
        <v>70</v>
      </c>
      <c r="E135" s="245">
        <f t="shared" si="4"/>
        <v>280</v>
      </c>
      <c r="H135" s="36" t="s">
        <v>357</v>
      </c>
      <c r="S135" s="4"/>
    </row>
    <row r="136" spans="1:19" ht="12.75" customHeight="1" x14ac:dyDescent="0.2">
      <c r="A136" s="199"/>
      <c r="B136" s="40"/>
      <c r="C136" s="68"/>
      <c r="D136" s="91">
        <v>0</v>
      </c>
      <c r="E136" s="245">
        <f t="shared" si="4"/>
        <v>0</v>
      </c>
      <c r="S136" s="4"/>
    </row>
    <row r="137" spans="1:19" ht="12.75" customHeight="1" x14ac:dyDescent="0.2">
      <c r="A137" s="199"/>
      <c r="B137" s="40"/>
      <c r="C137" s="68"/>
      <c r="D137" s="91">
        <v>0</v>
      </c>
      <c r="E137" s="245">
        <f t="shared" si="4"/>
        <v>0</v>
      </c>
      <c r="H137" t="s">
        <v>358</v>
      </c>
      <c r="S137" s="4"/>
    </row>
    <row r="138" spans="1:19" ht="12.75" customHeight="1" x14ac:dyDescent="0.2">
      <c r="A138" s="199"/>
      <c r="B138" s="40"/>
      <c r="C138" s="68"/>
      <c r="D138" s="91">
        <v>0</v>
      </c>
      <c r="E138" s="245">
        <f t="shared" si="4"/>
        <v>0</v>
      </c>
      <c r="H138" s="323" t="s">
        <v>359</v>
      </c>
      <c r="S138" s="4"/>
    </row>
    <row r="139" spans="1:19" ht="12.75" customHeight="1" x14ac:dyDescent="0.2">
      <c r="A139" s="199"/>
      <c r="B139" s="40"/>
      <c r="C139" s="68"/>
      <c r="D139" s="91">
        <v>0</v>
      </c>
      <c r="E139" s="245">
        <f t="shared" si="4"/>
        <v>0</v>
      </c>
      <c r="S139" s="4"/>
    </row>
    <row r="140" spans="1:19" ht="12.75" customHeight="1" x14ac:dyDescent="0.2">
      <c r="A140" s="199"/>
      <c r="B140" s="295"/>
      <c r="C140" s="68"/>
      <c r="D140" s="90">
        <v>0</v>
      </c>
      <c r="E140" s="245">
        <f t="shared" si="4"/>
        <v>0</v>
      </c>
      <c r="H140" s="322" t="s">
        <v>337</v>
      </c>
      <c r="S140" s="4"/>
    </row>
    <row r="141" spans="1:19" ht="12.75" customHeight="1" x14ac:dyDescent="0.2">
      <c r="A141" s="168" t="s">
        <v>221</v>
      </c>
      <c r="B141" s="132"/>
      <c r="C141" s="293"/>
      <c r="D141" s="297"/>
      <c r="E141" s="298">
        <f>SUM(E133:E140)</f>
        <v>424</v>
      </c>
      <c r="H141" s="323" t="s">
        <v>338</v>
      </c>
      <c r="S141" s="4"/>
    </row>
    <row r="142" spans="1:19" ht="12.75" customHeight="1" x14ac:dyDescent="0.2">
      <c r="A142" s="40"/>
      <c r="B142" s="40"/>
      <c r="C142" s="42"/>
      <c r="D142" s="164"/>
      <c r="E142" s="93"/>
      <c r="S142" s="4"/>
    </row>
    <row r="143" spans="1:19" ht="12.75" customHeight="1" x14ac:dyDescent="0.2">
      <c r="A143" s="198" t="s">
        <v>271</v>
      </c>
      <c r="B143" s="7" t="s">
        <v>311</v>
      </c>
      <c r="C143" s="225" t="s">
        <v>268</v>
      </c>
      <c r="D143" s="226" t="s">
        <v>267</v>
      </c>
      <c r="E143" s="7" t="s">
        <v>240</v>
      </c>
      <c r="H143" s="322" t="s">
        <v>339</v>
      </c>
      <c r="S143" s="4"/>
    </row>
    <row r="144" spans="1:19" ht="12.75" customHeight="1" x14ac:dyDescent="0.2">
      <c r="A144" s="199" t="s">
        <v>354</v>
      </c>
      <c r="B144" s="207"/>
      <c r="C144" s="68"/>
      <c r="D144" s="90">
        <v>0</v>
      </c>
      <c r="E144" s="245">
        <f t="shared" ref="E144:E145" si="5">IFERROR((D144/C144)*B144,0)</f>
        <v>0</v>
      </c>
      <c r="H144" s="323" t="s">
        <v>356</v>
      </c>
      <c r="S144" s="4"/>
    </row>
    <row r="145" spans="1:19" ht="12.75" customHeight="1" x14ac:dyDescent="0.2">
      <c r="A145" s="199"/>
      <c r="B145" s="207"/>
      <c r="C145" s="68"/>
      <c r="D145" s="91">
        <v>0</v>
      </c>
      <c r="E145" s="245">
        <f t="shared" si="5"/>
        <v>0</v>
      </c>
      <c r="S145" s="4"/>
    </row>
    <row r="146" spans="1:19" ht="12.75" customHeight="1" x14ac:dyDescent="0.2">
      <c r="A146" s="199"/>
      <c r="B146" s="207"/>
      <c r="C146" s="68"/>
      <c r="D146" s="91">
        <v>0</v>
      </c>
      <c r="E146" s="245">
        <f>IFERROR((D146/C146)*B146,0)</f>
        <v>0</v>
      </c>
      <c r="S146" s="4"/>
    </row>
    <row r="147" spans="1:19" ht="12.75" customHeight="1" x14ac:dyDescent="0.2">
      <c r="A147" s="199"/>
      <c r="B147" s="207"/>
      <c r="C147" s="68"/>
      <c r="D147" s="91">
        <v>0</v>
      </c>
      <c r="E147" s="245">
        <f t="shared" ref="E147:E151" si="6">IFERROR((D147/C147)*B147,0)</f>
        <v>0</v>
      </c>
      <c r="S147" s="4"/>
    </row>
    <row r="148" spans="1:19" ht="12.75" customHeight="1" x14ac:dyDescent="0.2">
      <c r="A148" s="199"/>
      <c r="B148" s="207"/>
      <c r="C148" s="68"/>
      <c r="D148" s="91">
        <v>0</v>
      </c>
      <c r="E148" s="245">
        <f t="shared" si="6"/>
        <v>0</v>
      </c>
      <c r="S148" s="4"/>
    </row>
    <row r="149" spans="1:19" ht="12.75" customHeight="1" x14ac:dyDescent="0.2">
      <c r="A149" s="199"/>
      <c r="B149" s="207"/>
      <c r="C149" s="68"/>
      <c r="D149" s="91">
        <v>0</v>
      </c>
      <c r="E149" s="245">
        <f t="shared" si="6"/>
        <v>0</v>
      </c>
      <c r="S149" s="4"/>
    </row>
    <row r="150" spans="1:19" ht="12.75" customHeight="1" x14ac:dyDescent="0.2">
      <c r="A150" s="230"/>
      <c r="B150" s="207"/>
      <c r="C150" s="77"/>
      <c r="D150" s="174">
        <v>0</v>
      </c>
      <c r="E150" s="245">
        <f t="shared" si="6"/>
        <v>0</v>
      </c>
      <c r="S150" s="4"/>
    </row>
    <row r="151" spans="1:19" ht="12.75" customHeight="1" x14ac:dyDescent="0.2">
      <c r="A151" s="199"/>
      <c r="B151" s="207"/>
      <c r="C151" s="68"/>
      <c r="D151" s="90">
        <v>0</v>
      </c>
      <c r="E151" s="245">
        <f t="shared" si="6"/>
        <v>0</v>
      </c>
      <c r="S151" s="4"/>
    </row>
    <row r="152" spans="1:19" ht="12.75" customHeight="1" x14ac:dyDescent="0.2">
      <c r="A152" s="302" t="s">
        <v>222</v>
      </c>
      <c r="B152" s="303"/>
      <c r="C152" s="304"/>
      <c r="D152" s="305"/>
      <c r="E152" s="250">
        <f>SUM(E144:E151)</f>
        <v>0</v>
      </c>
      <c r="S152" s="4"/>
    </row>
    <row r="153" spans="1:19" ht="12.75" customHeight="1" x14ac:dyDescent="0.2">
      <c r="A153" s="40"/>
      <c r="B153" s="40"/>
      <c r="C153" s="42"/>
      <c r="D153" s="164"/>
      <c r="E153" s="93"/>
      <c r="S153" s="4"/>
    </row>
    <row r="154" spans="1:19" ht="12.75" customHeight="1" x14ac:dyDescent="0.2">
      <c r="A154" s="260" t="s">
        <v>309</v>
      </c>
      <c r="B154" s="40"/>
      <c r="C154" s="225" t="s">
        <v>310</v>
      </c>
      <c r="D154" s="234" t="s">
        <v>301</v>
      </c>
      <c r="E154" s="93"/>
      <c r="S154" s="4"/>
    </row>
    <row r="155" spans="1:19" ht="12.75" customHeight="1" x14ac:dyDescent="0.2">
      <c r="A155" s="199"/>
      <c r="B155" s="40"/>
      <c r="C155" s="68"/>
      <c r="D155" s="90">
        <v>0</v>
      </c>
      <c r="E155" s="245">
        <f>C155*D155</f>
        <v>0</v>
      </c>
      <c r="S155" s="4"/>
    </row>
    <row r="156" spans="1:19" ht="12.75" customHeight="1" x14ac:dyDescent="0.2">
      <c r="A156" s="199"/>
      <c r="B156" s="40"/>
      <c r="C156" s="68"/>
      <c r="D156" s="91">
        <v>0</v>
      </c>
      <c r="E156" s="245">
        <f t="shared" ref="E156:E161" si="7">C156*D156</f>
        <v>0</v>
      </c>
      <c r="S156" s="4"/>
    </row>
    <row r="157" spans="1:19" ht="12.75" customHeight="1" x14ac:dyDescent="0.2">
      <c r="A157" s="199" t="s">
        <v>210</v>
      </c>
      <c r="B157" s="40"/>
      <c r="C157" s="68"/>
      <c r="D157" s="91">
        <v>0</v>
      </c>
      <c r="E157" s="245">
        <f t="shared" si="7"/>
        <v>0</v>
      </c>
      <c r="S157" s="4"/>
    </row>
    <row r="158" spans="1:19" ht="12.75" customHeight="1" x14ac:dyDescent="0.2">
      <c r="A158" s="199"/>
      <c r="B158" s="40"/>
      <c r="C158" s="68"/>
      <c r="D158" s="91">
        <v>0</v>
      </c>
      <c r="E158" s="245">
        <f t="shared" si="7"/>
        <v>0</v>
      </c>
      <c r="S158" s="4"/>
    </row>
    <row r="159" spans="1:19" ht="12.75" customHeight="1" x14ac:dyDescent="0.2">
      <c r="A159" s="199"/>
      <c r="B159" s="40"/>
      <c r="C159" s="68"/>
      <c r="D159" s="91">
        <v>0</v>
      </c>
      <c r="E159" s="245">
        <f t="shared" si="7"/>
        <v>0</v>
      </c>
      <c r="S159" s="4"/>
    </row>
    <row r="160" spans="1:19" ht="12.75" customHeight="1" x14ac:dyDescent="0.2">
      <c r="A160" s="199"/>
      <c r="B160" s="40"/>
      <c r="C160" s="68"/>
      <c r="D160" s="91">
        <v>0</v>
      </c>
      <c r="E160" s="245">
        <f t="shared" si="7"/>
        <v>0</v>
      </c>
      <c r="S160" s="4"/>
    </row>
    <row r="161" spans="1:19" ht="12.75" customHeight="1" x14ac:dyDescent="0.2">
      <c r="A161" s="199"/>
      <c r="B161" s="295"/>
      <c r="C161" s="68"/>
      <c r="D161" s="90">
        <v>0</v>
      </c>
      <c r="E161" s="245">
        <f t="shared" si="7"/>
        <v>0</v>
      </c>
      <c r="S161" s="4"/>
    </row>
    <row r="162" spans="1:19" ht="12.75" customHeight="1" x14ac:dyDescent="0.2">
      <c r="A162" s="301" t="s">
        <v>223</v>
      </c>
      <c r="B162" s="132"/>
      <c r="C162" s="293"/>
      <c r="D162" s="297"/>
      <c r="E162" s="250">
        <f>SUM(E155:E161)</f>
        <v>0</v>
      </c>
      <c r="S162" s="4"/>
    </row>
    <row r="163" spans="1:19" ht="12.75" customHeight="1" x14ac:dyDescent="0.2">
      <c r="A163" s="40"/>
      <c r="B163" s="40"/>
      <c r="C163" s="42"/>
      <c r="D163" s="164"/>
      <c r="E163" s="93"/>
      <c r="S163" s="4"/>
    </row>
    <row r="164" spans="1:19" ht="12.75" customHeight="1" x14ac:dyDescent="0.2">
      <c r="A164" s="260" t="s">
        <v>273</v>
      </c>
      <c r="B164" s="40"/>
      <c r="C164" s="225" t="s">
        <v>308</v>
      </c>
      <c r="D164" s="226" t="s">
        <v>239</v>
      </c>
      <c r="E164" s="93"/>
      <c r="S164" s="4"/>
    </row>
    <row r="165" spans="1:19" ht="12.75" customHeight="1" x14ac:dyDescent="0.2">
      <c r="A165" s="199"/>
      <c r="B165" s="40"/>
      <c r="C165" s="68"/>
      <c r="D165" s="90">
        <v>0</v>
      </c>
      <c r="E165" s="245">
        <f>C165*D165</f>
        <v>0</v>
      </c>
      <c r="S165" s="4"/>
    </row>
    <row r="166" spans="1:19" ht="12.75" customHeight="1" x14ac:dyDescent="0.2">
      <c r="A166" s="199"/>
      <c r="B166" s="40"/>
      <c r="C166" s="68"/>
      <c r="D166" s="90">
        <v>0</v>
      </c>
      <c r="E166" s="245">
        <f t="shared" ref="E166:E171" si="8">C166*D166</f>
        <v>0</v>
      </c>
      <c r="S166" s="4"/>
    </row>
    <row r="167" spans="1:19" ht="12.75" customHeight="1" x14ac:dyDescent="0.2">
      <c r="A167" s="199"/>
      <c r="B167" s="40"/>
      <c r="C167" s="68"/>
      <c r="D167" s="90">
        <v>0</v>
      </c>
      <c r="E167" s="245">
        <f t="shared" si="8"/>
        <v>0</v>
      </c>
      <c r="S167" s="4"/>
    </row>
    <row r="168" spans="1:19" ht="12.75" customHeight="1" x14ac:dyDescent="0.2">
      <c r="A168" s="199"/>
      <c r="B168" s="40"/>
      <c r="C168" s="68"/>
      <c r="D168" s="90">
        <v>0</v>
      </c>
      <c r="E168" s="245">
        <f t="shared" si="8"/>
        <v>0</v>
      </c>
      <c r="S168" s="4"/>
    </row>
    <row r="169" spans="1:19" ht="12.75" customHeight="1" x14ac:dyDescent="0.2">
      <c r="A169" s="199"/>
      <c r="B169" s="40"/>
      <c r="C169" s="68"/>
      <c r="D169" s="90">
        <v>0</v>
      </c>
      <c r="E169" s="245">
        <f t="shared" si="8"/>
        <v>0</v>
      </c>
      <c r="S169" s="4"/>
    </row>
    <row r="170" spans="1:19" ht="12.75" customHeight="1" x14ac:dyDescent="0.2">
      <c r="A170" s="230"/>
      <c r="B170" s="40"/>
      <c r="C170" s="68"/>
      <c r="D170" s="193">
        <v>0</v>
      </c>
      <c r="E170" s="246">
        <f t="shared" si="8"/>
        <v>0</v>
      </c>
      <c r="S170" s="4"/>
    </row>
    <row r="171" spans="1:19" ht="12.75" customHeight="1" x14ac:dyDescent="0.2">
      <c r="A171" s="199"/>
      <c r="B171" s="295"/>
      <c r="C171" s="68"/>
      <c r="D171" s="90">
        <v>0</v>
      </c>
      <c r="E171" s="245">
        <f t="shared" si="8"/>
        <v>0</v>
      </c>
      <c r="S171" s="4"/>
    </row>
    <row r="172" spans="1:19" ht="12.75" customHeight="1" x14ac:dyDescent="0.2">
      <c r="A172" s="302" t="s">
        <v>224</v>
      </c>
      <c r="B172" s="303"/>
      <c r="C172" s="304"/>
      <c r="D172" s="305"/>
      <c r="E172" s="250">
        <f>SUM(E165:E171)</f>
        <v>0</v>
      </c>
      <c r="S172" s="4"/>
    </row>
    <row r="173" spans="1:19" ht="12.75" customHeight="1" x14ac:dyDescent="0.2">
      <c r="A173" s="40"/>
      <c r="B173" s="40"/>
      <c r="C173" s="42"/>
      <c r="D173" s="164"/>
      <c r="E173" s="93"/>
      <c r="S173" s="4"/>
    </row>
    <row r="174" spans="1:19" ht="12.75" customHeight="1" x14ac:dyDescent="0.2">
      <c r="A174" s="198" t="s">
        <v>34</v>
      </c>
      <c r="B174" s="7" t="s">
        <v>275</v>
      </c>
      <c r="C174" s="225" t="s">
        <v>124</v>
      </c>
      <c r="D174" s="235" t="s">
        <v>253</v>
      </c>
      <c r="E174" s="7" t="s">
        <v>240</v>
      </c>
      <c r="S174" s="4"/>
    </row>
    <row r="175" spans="1:19" ht="12.75" customHeight="1" x14ac:dyDescent="0.2">
      <c r="A175" s="199" t="s">
        <v>134</v>
      </c>
      <c r="B175" s="207">
        <v>15</v>
      </c>
      <c r="C175" s="68">
        <v>0</v>
      </c>
      <c r="D175" s="71">
        <v>4</v>
      </c>
      <c r="E175" s="245">
        <f>((C175*D175)*((C14+C15)/B175))</f>
        <v>0</v>
      </c>
      <c r="S175" s="4"/>
    </row>
    <row r="176" spans="1:19" ht="12.75" customHeight="1" x14ac:dyDescent="0.2">
      <c r="A176" s="230"/>
      <c r="B176" s="207">
        <v>10</v>
      </c>
      <c r="C176" s="77"/>
      <c r="D176" s="174"/>
      <c r="E176" s="246">
        <f>((C176*D176)*(C16/B176))</f>
        <v>0</v>
      </c>
      <c r="S176" s="4"/>
    </row>
    <row r="177" spans="1:19" ht="12.75" customHeight="1" x14ac:dyDescent="0.2">
      <c r="A177" s="146" t="s">
        <v>123</v>
      </c>
      <c r="B177" s="147"/>
      <c r="C177" s="148"/>
      <c r="D177" s="149"/>
      <c r="E177" s="250">
        <f>E141+E152+E162+E172+E175+E176</f>
        <v>424</v>
      </c>
      <c r="S177" s="4"/>
    </row>
    <row r="178" spans="1:19" ht="12.75" customHeight="1" x14ac:dyDescent="0.2">
      <c r="A178" s="110" t="s">
        <v>32</v>
      </c>
      <c r="B178" s="106"/>
      <c r="C178" s="107"/>
      <c r="D178" s="108"/>
      <c r="E178" s="109"/>
      <c r="F178" s="92"/>
      <c r="S178" s="4"/>
    </row>
    <row r="179" spans="1:19" ht="12.75" customHeight="1" x14ac:dyDescent="0.2">
      <c r="A179" s="40"/>
      <c r="B179" s="236" t="s">
        <v>179</v>
      </c>
      <c r="C179" s="236" t="s">
        <v>276</v>
      </c>
      <c r="D179" s="237" t="s">
        <v>277</v>
      </c>
      <c r="E179" s="7" t="s">
        <v>240</v>
      </c>
      <c r="S179" s="4"/>
    </row>
    <row r="180" spans="1:19" ht="12.75" customHeight="1" x14ac:dyDescent="0.2">
      <c r="A180" s="199" t="s">
        <v>212</v>
      </c>
      <c r="B180" s="218">
        <v>1</v>
      </c>
      <c r="C180" s="172">
        <v>260</v>
      </c>
      <c r="D180" s="173">
        <v>1000</v>
      </c>
      <c r="E180" s="274">
        <f>IFERROR(((D180/C180)*($C$14+$C$15))*B180,0)</f>
        <v>46.153846153846153</v>
      </c>
      <c r="S180" s="4"/>
    </row>
    <row r="181" spans="1:19" ht="12.75" customHeight="1" x14ac:dyDescent="0.25">
      <c r="A181" s="199" t="s">
        <v>211</v>
      </c>
      <c r="B181" s="218">
        <v>0</v>
      </c>
      <c r="C181" s="68">
        <v>400</v>
      </c>
      <c r="D181" s="90">
        <v>0</v>
      </c>
      <c r="E181" s="245">
        <f t="shared" ref="E181:E182" si="9">IFERROR(((D181/C181)*($C$14+$C$15))*B181,0)</f>
        <v>0</v>
      </c>
      <c r="H181" s="188" t="s">
        <v>144</v>
      </c>
      <c r="I181" s="177"/>
      <c r="J181" s="177"/>
      <c r="K181" s="177"/>
      <c r="L181" s="178"/>
      <c r="M181" s="179"/>
      <c r="S181" s="4"/>
    </row>
    <row r="182" spans="1:19" ht="12.75" customHeight="1" x14ac:dyDescent="0.25">
      <c r="A182" s="199" t="s">
        <v>181</v>
      </c>
      <c r="B182" s="218"/>
      <c r="C182" s="68"/>
      <c r="D182" s="90"/>
      <c r="E182" s="245">
        <f t="shared" si="9"/>
        <v>0</v>
      </c>
      <c r="H182" s="180" t="s">
        <v>145</v>
      </c>
      <c r="I182" s="181"/>
      <c r="J182" s="181"/>
      <c r="K182" s="182" t="s">
        <v>154</v>
      </c>
      <c r="L182" s="178"/>
      <c r="M182" s="179"/>
      <c r="S182" s="4"/>
    </row>
    <row r="183" spans="1:19" ht="12.75" customHeight="1" x14ac:dyDescent="0.25">
      <c r="A183" s="192"/>
      <c r="B183" s="40" t="s">
        <v>180</v>
      </c>
      <c r="C183" s="134" t="s">
        <v>279</v>
      </c>
      <c r="D183" s="300" t="s">
        <v>278</v>
      </c>
      <c r="E183" s="102"/>
      <c r="H183" s="183" t="s">
        <v>146</v>
      </c>
      <c r="I183" s="181"/>
      <c r="J183" s="181"/>
      <c r="K183" s="181" t="s">
        <v>147</v>
      </c>
      <c r="L183" s="181"/>
      <c r="M183" s="184"/>
      <c r="S183" s="4"/>
    </row>
    <row r="184" spans="1:19" ht="12.75" customHeight="1" x14ac:dyDescent="0.25">
      <c r="A184" s="199" t="s">
        <v>178</v>
      </c>
      <c r="B184" s="207"/>
      <c r="C184" s="68"/>
      <c r="D184" s="90"/>
      <c r="E184" s="245">
        <f>IFERROR(((D184/C184)*($C$14+$C$15))*B184,0)</f>
        <v>0</v>
      </c>
      <c r="H184" s="183" t="s">
        <v>148</v>
      </c>
      <c r="I184" s="181"/>
      <c r="J184" s="181"/>
      <c r="K184" s="181" t="s">
        <v>149</v>
      </c>
      <c r="L184" s="181"/>
      <c r="M184" s="184"/>
      <c r="S184" s="4"/>
    </row>
    <row r="185" spans="1:19" ht="12.75" customHeight="1" x14ac:dyDescent="0.25">
      <c r="A185" s="40"/>
      <c r="B185" s="40"/>
      <c r="C185" s="44"/>
      <c r="D185" s="226" t="s">
        <v>155</v>
      </c>
      <c r="E185" s="7" t="s">
        <v>240</v>
      </c>
      <c r="H185" s="183" t="s">
        <v>150</v>
      </c>
      <c r="I185" s="181"/>
      <c r="J185" s="181"/>
      <c r="K185" s="181" t="s">
        <v>151</v>
      </c>
      <c r="L185" s="181"/>
      <c r="M185" s="184"/>
      <c r="S185" s="4"/>
    </row>
    <row r="186" spans="1:19" ht="12.75" customHeight="1" x14ac:dyDescent="0.25">
      <c r="A186" s="40" t="s">
        <v>213</v>
      </c>
      <c r="B186" s="189"/>
      <c r="C186" s="42"/>
      <c r="D186" s="191">
        <v>0.1</v>
      </c>
      <c r="E186" s="251">
        <f>(E18)*D186</f>
        <v>84</v>
      </c>
      <c r="H186" s="185" t="s">
        <v>152</v>
      </c>
      <c r="I186" s="186"/>
      <c r="J186" s="186"/>
      <c r="K186" s="186" t="s">
        <v>153</v>
      </c>
      <c r="L186" s="186"/>
      <c r="M186" s="187"/>
      <c r="S186" s="4"/>
    </row>
    <row r="187" spans="1:19" ht="12.75" customHeight="1" x14ac:dyDescent="0.2">
      <c r="A187" s="138" t="s">
        <v>104</v>
      </c>
      <c r="B187" s="106"/>
      <c r="C187" s="139"/>
      <c r="D187" s="140"/>
      <c r="E187" s="141"/>
      <c r="F187" s="92"/>
      <c r="S187" s="4"/>
    </row>
    <row r="188" spans="1:19" ht="12.75" customHeight="1" x14ac:dyDescent="0.2">
      <c r="A188" s="40"/>
      <c r="B188" s="40"/>
      <c r="C188" s="225" t="s">
        <v>125</v>
      </c>
      <c r="D188" s="226" t="s">
        <v>105</v>
      </c>
      <c r="E188" s="54" t="s">
        <v>240</v>
      </c>
      <c r="G188" s="20"/>
      <c r="S188" s="4"/>
    </row>
    <row r="189" spans="1:19" ht="12.75" customHeight="1" x14ac:dyDescent="0.2">
      <c r="A189" s="266" t="s">
        <v>45</v>
      </c>
      <c r="B189" s="267"/>
      <c r="C189" s="167">
        <v>1.5</v>
      </c>
      <c r="D189" s="90">
        <v>25</v>
      </c>
      <c r="E189" s="245">
        <f>C189*D189</f>
        <v>37.5</v>
      </c>
      <c r="S189" s="4"/>
    </row>
    <row r="190" spans="1:19" ht="12.75" customHeight="1" x14ac:dyDescent="0.2">
      <c r="A190" s="40"/>
      <c r="B190" s="40"/>
      <c r="C190" s="42"/>
      <c r="D190" s="43"/>
      <c r="E190" s="10"/>
      <c r="S190" s="4"/>
    </row>
    <row r="191" spans="1:19" ht="12.75" customHeight="1" x14ac:dyDescent="0.2">
      <c r="A191" s="106"/>
      <c r="B191" s="112"/>
      <c r="C191" s="107"/>
      <c r="D191" s="108"/>
      <c r="E191" s="142"/>
      <c r="F191" s="92"/>
    </row>
    <row r="192" spans="1:19" ht="12.75" customHeight="1" x14ac:dyDescent="0.2">
      <c r="A192" s="33" t="s">
        <v>113</v>
      </c>
      <c r="C192" s="231">
        <v>7.4999999999999997E-2</v>
      </c>
      <c r="E192" s="241">
        <f>(C192*0.67)*(E116+(0.2*E130))</f>
        <v>11.90925</v>
      </c>
      <c r="G192" s="86" t="s">
        <v>59</v>
      </c>
      <c r="H192" s="87"/>
      <c r="I192" s="87"/>
      <c r="J192" s="87"/>
      <c r="K192" s="87"/>
      <c r="L192" s="88"/>
    </row>
    <row r="193" spans="1:13" ht="12.75" customHeight="1" x14ac:dyDescent="0.2">
      <c r="A193" s="15"/>
      <c r="E193" s="6"/>
      <c r="G193" s="4"/>
      <c r="H193" s="4"/>
      <c r="I193" s="45"/>
      <c r="J193" s="45"/>
      <c r="K193" s="4"/>
      <c r="L193" s="45"/>
      <c r="M193" s="45"/>
    </row>
    <row r="194" spans="1:13" ht="12.75" customHeight="1" x14ac:dyDescent="0.2">
      <c r="A194" s="33" t="s">
        <v>85</v>
      </c>
      <c r="B194" s="4"/>
      <c r="C194" s="44"/>
      <c r="D194" s="43"/>
      <c r="E194" s="243">
        <f>E18*0.05</f>
        <v>42</v>
      </c>
    </row>
    <row r="195" spans="1:13" ht="12.75" customHeight="1" x14ac:dyDescent="0.2">
      <c r="A195" s="20" t="s">
        <v>231</v>
      </c>
      <c r="C195" s="16"/>
      <c r="E195" s="243">
        <f>E116+E130+E177+E180+E181+E182+E184+E189+E192</f>
        <v>784.56309615384623</v>
      </c>
    </row>
    <row r="196" spans="1:13" ht="12.75" customHeight="1" x14ac:dyDescent="0.2">
      <c r="A196" s="20" t="s">
        <v>230</v>
      </c>
      <c r="D196" s="16"/>
      <c r="E196" s="243">
        <f>E18-E195</f>
        <v>55.436903846153768</v>
      </c>
    </row>
    <row r="197" spans="1:13" ht="14.25" x14ac:dyDescent="0.2">
      <c r="A197" s="21"/>
      <c r="C197" s="54"/>
      <c r="D197" s="54"/>
      <c r="E197" s="55"/>
    </row>
    <row r="198" spans="1:13" x14ac:dyDescent="0.2">
      <c r="A198" s="33" t="s">
        <v>218</v>
      </c>
      <c r="B198" s="4"/>
      <c r="C198" s="42"/>
      <c r="D198" s="53"/>
      <c r="E198" s="252">
        <f>E195/(C14+C15)</f>
        <v>65.380258012820519</v>
      </c>
    </row>
    <row r="199" spans="1:13" x14ac:dyDescent="0.2">
      <c r="A199" s="20" t="s">
        <v>219</v>
      </c>
      <c r="B199" s="4"/>
      <c r="E199" s="243">
        <f>E195/(C16+C17)</f>
        <v>163.45064503205128</v>
      </c>
    </row>
    <row r="200" spans="1:13" x14ac:dyDescent="0.2">
      <c r="B200" s="4"/>
    </row>
    <row r="201" spans="1:13" x14ac:dyDescent="0.2">
      <c r="C201" s="355" t="s">
        <v>26</v>
      </c>
      <c r="D201" s="356"/>
      <c r="E201" s="356"/>
      <c r="F201" s="356"/>
      <c r="G201" s="357"/>
    </row>
    <row r="202" spans="1:13" x14ac:dyDescent="0.2">
      <c r="C202" s="74"/>
      <c r="D202" s="75"/>
      <c r="E202" s="75"/>
      <c r="F202" s="75"/>
      <c r="G202" s="76"/>
    </row>
    <row r="203" spans="1:13" x14ac:dyDescent="0.2">
      <c r="C203" s="355" t="s">
        <v>18</v>
      </c>
      <c r="D203" s="356"/>
      <c r="E203" s="356"/>
      <c r="F203" s="356"/>
      <c r="G203" s="357"/>
    </row>
    <row r="204" spans="1:13" x14ac:dyDescent="0.2">
      <c r="A204" s="358" t="s">
        <v>24</v>
      </c>
      <c r="B204" s="359"/>
      <c r="C204" s="23"/>
      <c r="D204" s="23"/>
      <c r="E204" s="23"/>
      <c r="F204" s="23"/>
      <c r="G204" s="23"/>
    </row>
    <row r="205" spans="1:13" x14ac:dyDescent="0.2">
      <c r="A205" s="258" t="s">
        <v>27</v>
      </c>
      <c r="B205" s="259" t="s">
        <v>302</v>
      </c>
      <c r="C205" s="355" t="s">
        <v>26</v>
      </c>
      <c r="D205" s="356"/>
      <c r="E205" s="356"/>
      <c r="F205" s="356"/>
      <c r="G205" s="357"/>
    </row>
    <row r="206" spans="1:13" x14ac:dyDescent="0.2">
      <c r="A206" s="24" t="s">
        <v>21</v>
      </c>
      <c r="B206" s="349">
        <f>C14*1.2</f>
        <v>14.399999999999999</v>
      </c>
      <c r="C206" s="347">
        <f t="shared" ref="C206:G210" si="10">((C$211*$B206)+$E$15)-$E$195</f>
        <v>21.836903846153632</v>
      </c>
      <c r="D206" s="347">
        <f t="shared" si="10"/>
        <v>122.6369038461537</v>
      </c>
      <c r="E206" s="347">
        <f t="shared" si="10"/>
        <v>223.43690384615365</v>
      </c>
      <c r="F206" s="347">
        <f t="shared" si="10"/>
        <v>324.23690384615372</v>
      </c>
      <c r="G206" s="347">
        <f t="shared" si="10"/>
        <v>425.03690384615368</v>
      </c>
    </row>
    <row r="207" spans="1:13" x14ac:dyDescent="0.2">
      <c r="A207" s="24" t="s">
        <v>20</v>
      </c>
      <c r="B207" s="349">
        <f>C14*1.1</f>
        <v>13.200000000000001</v>
      </c>
      <c r="C207" s="347">
        <f t="shared" si="10"/>
        <v>-45.363096153846186</v>
      </c>
      <c r="D207" s="347">
        <f t="shared" si="10"/>
        <v>47.036903846153791</v>
      </c>
      <c r="E207" s="347">
        <f t="shared" si="10"/>
        <v>139.43690384615388</v>
      </c>
      <c r="F207" s="347">
        <f t="shared" si="10"/>
        <v>231.83690384615386</v>
      </c>
      <c r="G207" s="347">
        <f t="shared" si="10"/>
        <v>324.23690384615395</v>
      </c>
    </row>
    <row r="208" spans="1:13" x14ac:dyDescent="0.2">
      <c r="A208" s="22"/>
      <c r="B208" s="349">
        <f>C14</f>
        <v>12</v>
      </c>
      <c r="C208" s="347">
        <f t="shared" si="10"/>
        <v>-112.56309615384623</v>
      </c>
      <c r="D208" s="347">
        <f t="shared" si="10"/>
        <v>-28.563096153846232</v>
      </c>
      <c r="E208" s="348">
        <f t="shared" si="10"/>
        <v>55.436903846153768</v>
      </c>
      <c r="F208" s="347">
        <f t="shared" si="10"/>
        <v>139.43690384615377</v>
      </c>
      <c r="G208" s="347">
        <f t="shared" si="10"/>
        <v>223.43690384615377</v>
      </c>
    </row>
    <row r="209" spans="1:7" x14ac:dyDescent="0.2">
      <c r="A209" s="24" t="s">
        <v>22</v>
      </c>
      <c r="B209" s="349">
        <f>C14*0.9</f>
        <v>10.8</v>
      </c>
      <c r="C209" s="347">
        <f t="shared" si="10"/>
        <v>-179.76309615384616</v>
      </c>
      <c r="D209" s="347">
        <f t="shared" si="10"/>
        <v>-104.16309615384614</v>
      </c>
      <c r="E209" s="347">
        <f t="shared" si="10"/>
        <v>-28.563096153846232</v>
      </c>
      <c r="F209" s="347">
        <f t="shared" si="10"/>
        <v>47.036903846153791</v>
      </c>
      <c r="G209" s="347">
        <f t="shared" si="10"/>
        <v>122.63690384615381</v>
      </c>
    </row>
    <row r="210" spans="1:7" x14ac:dyDescent="0.2">
      <c r="A210" s="24" t="s">
        <v>23</v>
      </c>
      <c r="B210" s="349">
        <f>C14*0.8</f>
        <v>9.6000000000000014</v>
      </c>
      <c r="C210" s="347">
        <f t="shared" si="10"/>
        <v>-246.9630961538461</v>
      </c>
      <c r="D210" s="347">
        <f t="shared" si="10"/>
        <v>-179.76309615384616</v>
      </c>
      <c r="E210" s="347">
        <f t="shared" si="10"/>
        <v>-112.56309615384612</v>
      </c>
      <c r="F210" s="347">
        <f t="shared" si="10"/>
        <v>-45.363096153846072</v>
      </c>
      <c r="G210" s="347">
        <f t="shared" si="10"/>
        <v>21.836903846153859</v>
      </c>
    </row>
    <row r="211" spans="1:7" x14ac:dyDescent="0.2">
      <c r="A211" s="257" t="s">
        <v>414</v>
      </c>
      <c r="B211" s="253"/>
      <c r="C211" s="254">
        <f>D14*0.8</f>
        <v>56</v>
      </c>
      <c r="D211" s="254">
        <f>D14*0.9</f>
        <v>63</v>
      </c>
      <c r="E211" s="254">
        <f>D14</f>
        <v>70</v>
      </c>
      <c r="F211" s="254">
        <f>D14*1.1</f>
        <v>77</v>
      </c>
      <c r="G211" s="254">
        <f>D14*1.2</f>
        <v>84</v>
      </c>
    </row>
    <row r="212" spans="1:7" x14ac:dyDescent="0.2">
      <c r="A212" s="257" t="s">
        <v>19</v>
      </c>
      <c r="B212" s="253"/>
      <c r="C212" s="255" t="s">
        <v>23</v>
      </c>
      <c r="D212" s="255" t="s">
        <v>22</v>
      </c>
      <c r="E212" s="256"/>
      <c r="F212" s="255" t="s">
        <v>20</v>
      </c>
      <c r="G212" s="255" t="s">
        <v>21</v>
      </c>
    </row>
  </sheetData>
  <sheetProtection algorithmName="SHA-512" hashValue="L9G1n557W82pfJlC0z3CYYPCJ98gPUDUvivJAR2GE7taZ3XXlzvwkKJ6Si6ewIwGYrOCBO97J6dLxunQP4p+aA==" saltValue="p/KmydAVRj7MCMvIjzbEHA==" spinCount="100000" sheet="1" objects="1" scenarios="1"/>
  <mergeCells count="4">
    <mergeCell ref="C201:G201"/>
    <mergeCell ref="C203:G203"/>
    <mergeCell ref="A204:B204"/>
    <mergeCell ref="C205:G205"/>
  </mergeCells>
  <hyperlinks>
    <hyperlink ref="H134" r:id="rId1" xr:uid="{00000000-0004-0000-0D00-000000000000}"/>
    <hyperlink ref="H141" r:id="rId2" xr:uid="{00000000-0004-0000-0D00-000001000000}"/>
    <hyperlink ref="H135" r:id="rId3" xr:uid="{00000000-0004-0000-0D00-000002000000}"/>
    <hyperlink ref="H138" r:id="rId4" xr:uid="{00000000-0004-0000-0D00-000003000000}"/>
  </hyperlinks>
  <pageMargins left="0.7" right="0.7" top="0.75" bottom="0.75" header="0.3" footer="0.3"/>
  <pageSetup scale="40" fitToHeight="0" orientation="portrait" verticalDpi="0" r:id="rId5"/>
  <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S212"/>
  <sheetViews>
    <sheetView zoomScale="93" zoomScaleNormal="93" workbookViewId="0">
      <selection activeCell="E14" sqref="E14"/>
    </sheetView>
  </sheetViews>
  <sheetFormatPr defaultColWidth="8.42578125" defaultRowHeight="12.75" x14ac:dyDescent="0.2"/>
  <cols>
    <col min="1" max="1" width="26.7109375" customWidth="1"/>
    <col min="2" max="2" width="17.85546875" customWidth="1"/>
    <col min="3" max="3" width="17.42578125" customWidth="1"/>
    <col min="4" max="4" width="15.140625" customWidth="1"/>
    <col min="5" max="5" width="11.28515625" customWidth="1"/>
    <col min="6" max="6" width="10.85546875" customWidth="1"/>
    <col min="7" max="7" width="13.42578125" customWidth="1"/>
    <col min="8" max="9" width="7.42578125" customWidth="1"/>
    <col min="10" max="10" width="8.42578125" customWidth="1"/>
    <col min="11" max="11" width="8" customWidth="1"/>
    <col min="12" max="12" width="13.7109375" customWidth="1"/>
  </cols>
  <sheetData>
    <row r="1" spans="1:14" ht="15.75" customHeight="1" x14ac:dyDescent="0.2">
      <c r="A1" s="20" t="s">
        <v>29</v>
      </c>
      <c r="E1" s="36"/>
    </row>
    <row r="2" spans="1:14" ht="8.25" customHeight="1" x14ac:dyDescent="0.2"/>
    <row r="3" spans="1:14" ht="15" customHeight="1" x14ac:dyDescent="0.2"/>
    <row r="4" spans="1:14" ht="8.25" customHeight="1" x14ac:dyDescent="0.2"/>
    <row r="5" spans="1:14" ht="18.75" customHeight="1" x14ac:dyDescent="0.25">
      <c r="A5" s="2" t="s">
        <v>342</v>
      </c>
      <c r="D5" s="19"/>
      <c r="E5" s="197"/>
    </row>
    <row r="6" spans="1:14" ht="5.25" customHeight="1" x14ac:dyDescent="0.2"/>
    <row r="7" spans="1:14" x14ac:dyDescent="0.2">
      <c r="A7" s="17" t="s">
        <v>83</v>
      </c>
      <c r="E7" s="67"/>
      <c r="I7" s="38"/>
    </row>
    <row r="8" spans="1:14" x14ac:dyDescent="0.2">
      <c r="A8" s="17" t="s">
        <v>228</v>
      </c>
      <c r="E8" s="242"/>
    </row>
    <row r="9" spans="1:14" x14ac:dyDescent="0.2">
      <c r="A9" s="17" t="s">
        <v>71</v>
      </c>
      <c r="E9" s="79"/>
    </row>
    <row r="10" spans="1:14" x14ac:dyDescent="0.2">
      <c r="A10" s="17"/>
      <c r="E10" s="3"/>
    </row>
    <row r="11" spans="1:14" ht="18" x14ac:dyDescent="0.25">
      <c r="A11" s="2" t="s">
        <v>343</v>
      </c>
      <c r="B11" s="354" t="s">
        <v>428</v>
      </c>
      <c r="C11" s="329"/>
    </row>
    <row r="12" spans="1:14" x14ac:dyDescent="0.2">
      <c r="A12" s="119" t="s">
        <v>37</v>
      </c>
      <c r="B12" s="117"/>
      <c r="C12" s="118"/>
      <c r="D12" s="117"/>
      <c r="E12" s="117"/>
      <c r="F12" s="92"/>
    </row>
    <row r="13" spans="1:14" x14ac:dyDescent="0.2">
      <c r="A13" s="17"/>
      <c r="B13" s="7" t="s">
        <v>306</v>
      </c>
      <c r="C13" s="54" t="s">
        <v>307</v>
      </c>
      <c r="D13" s="7" t="s">
        <v>239</v>
      </c>
      <c r="E13" s="7" t="s">
        <v>236</v>
      </c>
      <c r="H13" s="17" t="s">
        <v>170</v>
      </c>
      <c r="I13" s="17"/>
      <c r="J13" s="17"/>
      <c r="K13" s="17"/>
    </row>
    <row r="14" spans="1:14" x14ac:dyDescent="0.2">
      <c r="A14" s="20" t="s">
        <v>216</v>
      </c>
      <c r="B14" s="275">
        <v>0.65</v>
      </c>
      <c r="C14" s="167">
        <v>12</v>
      </c>
      <c r="D14" s="124">
        <v>60</v>
      </c>
      <c r="E14" s="241">
        <f>C14*D14</f>
        <v>720</v>
      </c>
      <c r="H14" s="20" t="s">
        <v>186</v>
      </c>
      <c r="L14" s="124">
        <v>165</v>
      </c>
      <c r="N14" s="20" t="s">
        <v>187</v>
      </c>
    </row>
    <row r="15" spans="1:14" x14ac:dyDescent="0.2">
      <c r="A15" s="20" t="s">
        <v>217</v>
      </c>
      <c r="B15" s="275">
        <v>0</v>
      </c>
      <c r="C15" s="167">
        <v>0</v>
      </c>
      <c r="D15" s="124">
        <v>0</v>
      </c>
      <c r="E15" s="241">
        <f>C15*D15</f>
        <v>0</v>
      </c>
      <c r="H15" s="20" t="s">
        <v>184</v>
      </c>
      <c r="L15" s="330">
        <v>0.5</v>
      </c>
    </row>
    <row r="16" spans="1:14" x14ac:dyDescent="0.2">
      <c r="A16" s="20" t="s">
        <v>214</v>
      </c>
      <c r="C16" s="299">
        <f>C14*(1-B14)</f>
        <v>4.1999999999999993</v>
      </c>
      <c r="E16" s="232"/>
      <c r="H16" s="20" t="s">
        <v>185</v>
      </c>
      <c r="L16" s="241">
        <f>(L14/0.87)*(1-L15)</f>
        <v>94.827586206896555</v>
      </c>
    </row>
    <row r="17" spans="1:18" x14ac:dyDescent="0.2">
      <c r="A17" s="20" t="s">
        <v>215</v>
      </c>
      <c r="C17" s="299">
        <f>C15*(1-B15)</f>
        <v>0</v>
      </c>
      <c r="E17" s="232"/>
      <c r="H17" s="20"/>
      <c r="L17" s="233"/>
    </row>
    <row r="18" spans="1:18" x14ac:dyDescent="0.2">
      <c r="A18" s="152" t="s">
        <v>199</v>
      </c>
      <c r="B18" s="159"/>
      <c r="C18" s="157"/>
      <c r="D18" s="159"/>
      <c r="E18" s="243">
        <f>SUM(E14:E15)</f>
        <v>720</v>
      </c>
    </row>
    <row r="19" spans="1:18" x14ac:dyDescent="0.2">
      <c r="A19" s="119" t="s">
        <v>40</v>
      </c>
      <c r="B19" s="120"/>
      <c r="C19" s="121"/>
      <c r="D19" s="120"/>
      <c r="E19" s="120"/>
      <c r="F19" s="122"/>
    </row>
    <row r="20" spans="1:18" ht="12" customHeight="1" x14ac:dyDescent="0.2">
      <c r="A20" s="17"/>
      <c r="B20" s="4"/>
      <c r="C20" s="3"/>
      <c r="D20" s="4"/>
      <c r="E20" s="4"/>
    </row>
    <row r="21" spans="1:18" x14ac:dyDescent="0.2">
      <c r="A21" s="111" t="s">
        <v>4</v>
      </c>
      <c r="B21" s="92"/>
      <c r="C21" s="112"/>
      <c r="D21" s="112"/>
      <c r="E21" s="112"/>
      <c r="F21" s="92"/>
    </row>
    <row r="22" spans="1:18" ht="15" customHeight="1" x14ac:dyDescent="0.2">
      <c r="A22" s="98" t="s">
        <v>88</v>
      </c>
      <c r="B22" s="99"/>
      <c r="C22" s="100"/>
      <c r="D22" s="100"/>
      <c r="E22" s="100"/>
      <c r="F22" s="97"/>
      <c r="H22" s="17"/>
      <c r="J22" s="17"/>
      <c r="M22" s="20"/>
    </row>
    <row r="23" spans="1:18" x14ac:dyDescent="0.2">
      <c r="A23" s="33"/>
      <c r="B23" s="7" t="s">
        <v>237</v>
      </c>
      <c r="C23" s="7" t="s">
        <v>238</v>
      </c>
      <c r="D23" s="7" t="s">
        <v>239</v>
      </c>
      <c r="E23" s="7" t="s">
        <v>240</v>
      </c>
      <c r="G23" s="65"/>
      <c r="H23" s="17"/>
      <c r="J23" s="17"/>
      <c r="K23" s="17"/>
      <c r="M23" s="20"/>
    </row>
    <row r="24" spans="1:18" x14ac:dyDescent="0.2">
      <c r="A24" s="39" t="s">
        <v>303</v>
      </c>
      <c r="B24" s="207"/>
      <c r="C24" s="78">
        <v>0</v>
      </c>
      <c r="D24" s="90">
        <v>0</v>
      </c>
      <c r="E24" s="244">
        <f>((D24/2000)*B24*C24)</f>
        <v>0</v>
      </c>
      <c r="G24" s="48"/>
      <c r="H24" s="6"/>
      <c r="I24" s="48"/>
      <c r="J24" s="6"/>
      <c r="O24" s="20"/>
      <c r="P24" s="20"/>
      <c r="Q24" s="20"/>
      <c r="R24" s="20"/>
    </row>
    <row r="25" spans="1:18" x14ac:dyDescent="0.2">
      <c r="A25" s="39"/>
      <c r="B25" s="40"/>
      <c r="C25" s="47"/>
      <c r="D25" s="10"/>
      <c r="E25" s="46"/>
      <c r="G25" s="48"/>
      <c r="H25" s="6"/>
      <c r="I25" s="48"/>
      <c r="J25" s="6"/>
      <c r="O25" s="20"/>
      <c r="P25" s="20"/>
      <c r="Q25" s="20"/>
      <c r="R25" s="20"/>
    </row>
    <row r="26" spans="1:18" x14ac:dyDescent="0.2">
      <c r="A26" s="33"/>
      <c r="C26" s="7" t="s">
        <v>87</v>
      </c>
      <c r="D26" s="7" t="s">
        <v>239</v>
      </c>
      <c r="E26" s="7" t="s">
        <v>240</v>
      </c>
      <c r="G26" s="65"/>
      <c r="H26" s="17"/>
      <c r="J26" s="17"/>
      <c r="K26" s="17"/>
      <c r="M26" s="20"/>
    </row>
    <row r="27" spans="1:18" x14ac:dyDescent="0.2">
      <c r="A27" s="208" t="s">
        <v>171</v>
      </c>
      <c r="B27" s="4"/>
      <c r="C27" s="68">
        <v>50</v>
      </c>
      <c r="D27" s="351">
        <v>520</v>
      </c>
      <c r="E27" s="245">
        <f>C27*(D27/2000)</f>
        <v>13</v>
      </c>
      <c r="G27" s="5"/>
      <c r="H27" s="1"/>
      <c r="J27" s="56"/>
    </row>
    <row r="28" spans="1:18" x14ac:dyDescent="0.2">
      <c r="A28" s="208" t="s">
        <v>66</v>
      </c>
      <c r="B28" s="4"/>
      <c r="C28" s="77"/>
      <c r="D28" s="90">
        <v>0</v>
      </c>
      <c r="E28" s="246">
        <f>C28*(D28/2000)</f>
        <v>0</v>
      </c>
      <c r="G28" s="5"/>
      <c r="H28" s="1"/>
      <c r="J28" s="56"/>
    </row>
    <row r="29" spans="1:18" x14ac:dyDescent="0.2">
      <c r="A29" s="209" t="s">
        <v>66</v>
      </c>
      <c r="B29" s="4"/>
      <c r="C29" s="77"/>
      <c r="D29" s="193"/>
      <c r="E29" s="246">
        <f>C29*(D29/2000)</f>
        <v>0</v>
      </c>
      <c r="G29" s="5"/>
      <c r="H29" s="1"/>
      <c r="J29" s="56"/>
    </row>
    <row r="30" spans="1:18" x14ac:dyDescent="0.2">
      <c r="A30" s="208"/>
      <c r="B30" s="4"/>
      <c r="C30" s="68"/>
      <c r="D30" s="90"/>
      <c r="E30" s="245">
        <f>C30*(D30/2000)</f>
        <v>0</v>
      </c>
      <c r="G30" s="5"/>
      <c r="H30" s="1"/>
      <c r="J30" s="56"/>
    </row>
    <row r="31" spans="1:18" x14ac:dyDescent="0.2">
      <c r="A31" s="94"/>
      <c r="B31" s="4"/>
      <c r="C31" s="42"/>
      <c r="D31" s="93"/>
      <c r="E31" s="93"/>
      <c r="G31" s="5"/>
      <c r="H31" s="1"/>
      <c r="J31" s="56"/>
    </row>
    <row r="32" spans="1:18" ht="14.25" customHeight="1" x14ac:dyDescent="0.2">
      <c r="A32" s="95" t="s">
        <v>135</v>
      </c>
      <c r="B32" s="96"/>
      <c r="C32" s="160"/>
      <c r="D32" s="161"/>
      <c r="E32" s="161"/>
      <c r="F32" s="97"/>
    </row>
    <row r="33" spans="1:12" ht="14.25" customHeight="1" x14ac:dyDescent="0.2">
      <c r="A33" s="48" t="s">
        <v>304</v>
      </c>
      <c r="C33" s="219" t="s">
        <v>68</v>
      </c>
      <c r="D33" s="7" t="s">
        <v>69</v>
      </c>
      <c r="E33" s="7" t="s">
        <v>240</v>
      </c>
    </row>
    <row r="34" spans="1:12" ht="14.25" customHeight="1" x14ac:dyDescent="0.2">
      <c r="A34" s="201" t="s">
        <v>14</v>
      </c>
      <c r="B34" s="40"/>
      <c r="C34" s="68">
        <v>150</v>
      </c>
      <c r="D34" s="90">
        <v>0.6</v>
      </c>
      <c r="E34" s="245">
        <f>C34*D34</f>
        <v>90</v>
      </c>
    </row>
    <row r="35" spans="1:12" ht="14.25" customHeight="1" x14ac:dyDescent="0.2">
      <c r="A35" s="220" t="s">
        <v>15</v>
      </c>
      <c r="B35" s="4"/>
      <c r="C35" s="68"/>
      <c r="D35" s="90"/>
      <c r="E35" s="245">
        <f t="shared" ref="E35:E37" si="0">C35*D35</f>
        <v>0</v>
      </c>
    </row>
    <row r="36" spans="1:12" ht="13.5" customHeight="1" x14ac:dyDescent="0.2">
      <c r="A36" s="220" t="s">
        <v>16</v>
      </c>
      <c r="B36" s="4"/>
      <c r="C36" s="68"/>
      <c r="D36" s="90"/>
      <c r="E36" s="245">
        <f t="shared" si="0"/>
        <v>0</v>
      </c>
      <c r="G36" s="72"/>
      <c r="H36" s="16"/>
      <c r="I36" s="16"/>
      <c r="J36" s="7"/>
      <c r="K36" s="17"/>
      <c r="L36" s="17"/>
    </row>
    <row r="37" spans="1:12" ht="14.25" customHeight="1" x14ac:dyDescent="0.2">
      <c r="A37" s="221" t="s">
        <v>17</v>
      </c>
      <c r="B37" s="4"/>
      <c r="C37" s="68"/>
      <c r="D37" s="90"/>
      <c r="E37" s="246">
        <f t="shared" si="0"/>
        <v>0</v>
      </c>
      <c r="G37" s="5"/>
      <c r="H37" s="6"/>
      <c r="I37" s="6"/>
      <c r="J37" s="6"/>
      <c r="K37" s="6"/>
    </row>
    <row r="38" spans="1:12" ht="14.25" customHeight="1" x14ac:dyDescent="0.2">
      <c r="A38" s="199" t="s">
        <v>86</v>
      </c>
      <c r="B38" s="4"/>
      <c r="C38" s="42"/>
      <c r="D38" s="93"/>
      <c r="E38" s="210">
        <v>0</v>
      </c>
      <c r="G38" s="5"/>
      <c r="H38" s="6"/>
      <c r="I38" s="6"/>
      <c r="J38" s="6"/>
      <c r="K38" s="6"/>
    </row>
    <row r="39" spans="1:12" ht="14.25" customHeight="1" x14ac:dyDescent="0.2">
      <c r="A39" s="82" t="s">
        <v>136</v>
      </c>
      <c r="B39" s="81"/>
      <c r="C39" s="42"/>
      <c r="D39" s="93"/>
      <c r="E39" s="90">
        <v>0</v>
      </c>
      <c r="G39" s="5"/>
      <c r="H39" s="6"/>
      <c r="I39" s="6"/>
      <c r="J39" s="6"/>
      <c r="K39" s="6"/>
    </row>
    <row r="40" spans="1:12" ht="14.25" x14ac:dyDescent="0.25">
      <c r="A40" s="32"/>
      <c r="B40" s="4"/>
      <c r="C40" s="7" t="s">
        <v>193</v>
      </c>
      <c r="D40" s="223" t="s">
        <v>265</v>
      </c>
      <c r="E40" s="46"/>
      <c r="G40" s="65"/>
      <c r="I40" s="6"/>
    </row>
    <row r="41" spans="1:12" x14ac:dyDescent="0.2">
      <c r="A41" s="94" t="s">
        <v>192</v>
      </c>
      <c r="C41" s="68">
        <v>20</v>
      </c>
      <c r="D41" s="210">
        <v>0.81</v>
      </c>
      <c r="E41" s="247">
        <f t="shared" ref="E41" si="1">C41*D41</f>
        <v>16.200000000000003</v>
      </c>
      <c r="G41" s="48"/>
      <c r="H41" s="6"/>
    </row>
    <row r="42" spans="1:12" ht="14.25" customHeight="1" x14ac:dyDescent="0.25">
      <c r="A42" s="39"/>
      <c r="B42" s="4"/>
      <c r="C42" s="7" t="s">
        <v>194</v>
      </c>
      <c r="D42" s="223" t="s">
        <v>264</v>
      </c>
      <c r="E42" s="46"/>
      <c r="G42" s="5"/>
      <c r="H42" s="6"/>
      <c r="K42" s="17"/>
    </row>
    <row r="43" spans="1:12" ht="14.25" customHeight="1" x14ac:dyDescent="0.2">
      <c r="A43" s="222" t="s">
        <v>13</v>
      </c>
      <c r="C43" s="68">
        <v>60</v>
      </c>
      <c r="D43" s="90">
        <v>0.43</v>
      </c>
      <c r="E43" s="245">
        <f>C43*D43</f>
        <v>25.8</v>
      </c>
      <c r="G43" s="72"/>
      <c r="H43" s="16"/>
      <c r="I43" s="73"/>
      <c r="J43" s="73"/>
      <c r="K43" s="7"/>
      <c r="L43" s="7"/>
    </row>
    <row r="44" spans="1:12" ht="14.25" customHeight="1" x14ac:dyDescent="0.2">
      <c r="C44" s="12"/>
      <c r="G44" s="5"/>
      <c r="H44" s="1"/>
      <c r="I44" s="1"/>
      <c r="J44" s="1"/>
      <c r="K44" s="1"/>
      <c r="L44" s="1"/>
    </row>
    <row r="45" spans="1:12" ht="14.25" customHeight="1" x14ac:dyDescent="0.2">
      <c r="A45" s="199" t="s">
        <v>133</v>
      </c>
      <c r="B45" s="4"/>
      <c r="C45" s="9"/>
      <c r="D45" s="10"/>
      <c r="E45" s="90">
        <v>0</v>
      </c>
      <c r="G45" s="5"/>
      <c r="H45" s="6"/>
      <c r="I45" s="6"/>
      <c r="J45" s="6"/>
      <c r="K45" s="6"/>
      <c r="L45" s="6"/>
    </row>
    <row r="46" spans="1:12" ht="14.25" customHeight="1" x14ac:dyDescent="0.2">
      <c r="A46" s="166"/>
      <c r="B46" s="4"/>
      <c r="C46" s="9"/>
      <c r="D46" s="10"/>
      <c r="E46" s="102"/>
      <c r="G46" s="5"/>
      <c r="H46" s="6"/>
      <c r="I46" s="6"/>
      <c r="J46" s="6"/>
      <c r="K46" s="6"/>
      <c r="L46" s="6"/>
    </row>
    <row r="47" spans="1:12" ht="14.25" customHeight="1" x14ac:dyDescent="0.2">
      <c r="A47" s="199" t="s">
        <v>7</v>
      </c>
      <c r="B47" s="4"/>
      <c r="C47" s="9"/>
      <c r="D47" s="10"/>
      <c r="E47" s="90">
        <v>0</v>
      </c>
      <c r="G47" s="5"/>
      <c r="H47" s="6"/>
      <c r="I47" s="6"/>
      <c r="J47" s="6"/>
      <c r="K47" s="6"/>
      <c r="L47" s="6"/>
    </row>
    <row r="48" spans="1:12" ht="14.25" customHeight="1" x14ac:dyDescent="0.2">
      <c r="A48" s="199"/>
      <c r="B48" s="4"/>
      <c r="C48" s="9"/>
      <c r="D48" s="10"/>
      <c r="E48" s="90">
        <v>0</v>
      </c>
      <c r="G48" s="5"/>
      <c r="H48" s="6"/>
      <c r="I48" s="6"/>
      <c r="J48" s="6"/>
      <c r="K48" s="6"/>
      <c r="L48" s="6"/>
    </row>
    <row r="49" spans="1:12" ht="14.25" customHeight="1" x14ac:dyDescent="0.2">
      <c r="A49" s="199"/>
      <c r="B49" s="4"/>
      <c r="C49" s="9"/>
      <c r="D49" s="10"/>
      <c r="E49" s="90">
        <v>0</v>
      </c>
      <c r="G49" s="5"/>
      <c r="H49" s="6"/>
      <c r="I49" s="6"/>
      <c r="J49" s="6"/>
      <c r="K49" s="6"/>
      <c r="L49" s="6"/>
    </row>
    <row r="50" spans="1:12" ht="14.25" customHeight="1" x14ac:dyDescent="0.2">
      <c r="A50" s="33" t="s">
        <v>247</v>
      </c>
      <c r="B50" s="101"/>
      <c r="C50" s="219" t="s">
        <v>72</v>
      </c>
      <c r="D50" s="54" t="s">
        <v>255</v>
      </c>
      <c r="E50" s="10"/>
      <c r="G50" s="5"/>
      <c r="H50" s="6"/>
      <c r="I50" s="6"/>
      <c r="J50" s="6"/>
      <c r="K50" s="6"/>
      <c r="L50" s="6"/>
    </row>
    <row r="51" spans="1:12" ht="14.25" customHeight="1" x14ac:dyDescent="0.2">
      <c r="A51" s="199" t="s">
        <v>89</v>
      </c>
      <c r="B51" s="4"/>
      <c r="C51" s="68">
        <v>1</v>
      </c>
      <c r="D51" s="90">
        <v>9</v>
      </c>
      <c r="E51" s="245">
        <f>D51*C51</f>
        <v>9</v>
      </c>
      <c r="G51" s="5"/>
      <c r="H51" s="6"/>
      <c r="I51" s="6"/>
      <c r="J51" s="6"/>
      <c r="K51" s="6"/>
      <c r="L51" s="6"/>
    </row>
    <row r="52" spans="1:12" ht="14.25" customHeight="1" x14ac:dyDescent="0.2">
      <c r="A52" s="199"/>
      <c r="B52" s="4"/>
      <c r="C52" s="68"/>
      <c r="D52" s="90"/>
      <c r="E52" s="245">
        <f t="shared" ref="E52:E53" si="2">D52*C52</f>
        <v>0</v>
      </c>
      <c r="G52" s="5"/>
      <c r="H52" s="6"/>
      <c r="I52" s="6"/>
      <c r="J52" s="6"/>
      <c r="K52" s="6"/>
      <c r="L52" s="6"/>
    </row>
    <row r="53" spans="1:12" ht="14.25" customHeight="1" x14ac:dyDescent="0.2">
      <c r="A53" s="199"/>
      <c r="B53" s="4"/>
      <c r="C53" s="68"/>
      <c r="D53" s="90"/>
      <c r="E53" s="245">
        <f t="shared" si="2"/>
        <v>0</v>
      </c>
      <c r="G53" s="5"/>
      <c r="H53" s="6"/>
      <c r="I53" s="6"/>
      <c r="J53" s="6"/>
      <c r="K53" s="6"/>
      <c r="L53" s="6"/>
    </row>
    <row r="54" spans="1:12" ht="14.25" customHeight="1" x14ac:dyDescent="0.2">
      <c r="A54" s="33"/>
      <c r="B54" s="4"/>
      <c r="C54" s="9"/>
      <c r="D54" s="10"/>
      <c r="E54" s="10"/>
      <c r="G54" s="5"/>
      <c r="H54" s="6"/>
      <c r="I54" s="6"/>
      <c r="J54" s="6"/>
      <c r="K54" s="6"/>
      <c r="L54" s="6"/>
    </row>
    <row r="55" spans="1:12" x14ac:dyDescent="0.2">
      <c r="B55" s="7" t="s">
        <v>262</v>
      </c>
      <c r="C55" s="7" t="s">
        <v>263</v>
      </c>
      <c r="D55" s="54" t="s">
        <v>239</v>
      </c>
      <c r="E55" s="7" t="s">
        <v>240</v>
      </c>
    </row>
    <row r="56" spans="1:12" x14ac:dyDescent="0.2">
      <c r="A56" s="4" t="s">
        <v>80</v>
      </c>
      <c r="B56" s="211">
        <v>3</v>
      </c>
      <c r="C56" s="69">
        <v>0</v>
      </c>
      <c r="D56" s="124">
        <v>29</v>
      </c>
      <c r="E56" s="245">
        <f>(D56*C56)/B56</f>
        <v>0</v>
      </c>
      <c r="H56" s="80"/>
    </row>
    <row r="57" spans="1:12" x14ac:dyDescent="0.2">
      <c r="A57" s="15"/>
      <c r="B57" s="40"/>
      <c r="C57" s="125"/>
      <c r="D57" s="224" t="s">
        <v>240</v>
      </c>
      <c r="E57" s="102"/>
      <c r="H57" s="80"/>
    </row>
    <row r="58" spans="1:12" x14ac:dyDescent="0.2">
      <c r="A58" s="33" t="s">
        <v>98</v>
      </c>
      <c r="B58" s="4"/>
      <c r="C58" s="123"/>
      <c r="D58" s="124">
        <v>0</v>
      </c>
      <c r="E58" s="245">
        <f>D58/B56</f>
        <v>0</v>
      </c>
      <c r="H58" s="80"/>
    </row>
    <row r="59" spans="1:12" x14ac:dyDescent="0.2">
      <c r="A59" s="15"/>
      <c r="B59" s="84"/>
      <c r="C59" s="20"/>
      <c r="D59" s="1"/>
      <c r="E59" s="6"/>
      <c r="H59" s="80"/>
    </row>
    <row r="60" spans="1:12" x14ac:dyDescent="0.2">
      <c r="A60" s="152" t="s">
        <v>197</v>
      </c>
      <c r="B60" s="159"/>
      <c r="C60" s="159"/>
      <c r="D60" s="159"/>
      <c r="E60" s="243">
        <f>SUM(E24:E59)</f>
        <v>154</v>
      </c>
      <c r="G60" s="33"/>
      <c r="H60" s="33"/>
    </row>
    <row r="61" spans="1:12" x14ac:dyDescent="0.2">
      <c r="A61" s="111" t="s">
        <v>94</v>
      </c>
      <c r="B61" s="92"/>
      <c r="C61" s="92"/>
      <c r="D61" s="92"/>
      <c r="E61" s="92"/>
      <c r="F61" s="92"/>
      <c r="G61" s="33"/>
      <c r="H61" s="33"/>
    </row>
    <row r="62" spans="1:12" x14ac:dyDescent="0.2">
      <c r="A62" s="20"/>
      <c r="B62" s="1"/>
      <c r="G62" s="33"/>
      <c r="H62" s="33"/>
    </row>
    <row r="63" spans="1:12" x14ac:dyDescent="0.2">
      <c r="A63" s="18"/>
      <c r="B63" s="4"/>
      <c r="C63" s="54" t="s">
        <v>313</v>
      </c>
      <c r="D63" s="54" t="s">
        <v>314</v>
      </c>
      <c r="E63" s="7" t="s">
        <v>240</v>
      </c>
      <c r="G63" s="33"/>
      <c r="H63" s="33"/>
    </row>
    <row r="64" spans="1:12" x14ac:dyDescent="0.2">
      <c r="A64" s="199" t="s">
        <v>410</v>
      </c>
      <c r="B64" s="40"/>
      <c r="C64" s="68">
        <v>25</v>
      </c>
      <c r="D64" s="169">
        <v>120</v>
      </c>
      <c r="E64" s="245">
        <f>((C64/50)*D64)</f>
        <v>60</v>
      </c>
      <c r="G64" s="33"/>
      <c r="H64" s="33"/>
    </row>
    <row r="65" spans="1:8" x14ac:dyDescent="0.2">
      <c r="A65" s="199"/>
      <c r="B65" s="40"/>
      <c r="C65" s="68"/>
      <c r="D65" s="169"/>
      <c r="E65" s="245">
        <f>((C65/50)*D65)</f>
        <v>0</v>
      </c>
      <c r="G65" s="33"/>
      <c r="H65" s="33"/>
    </row>
    <row r="66" spans="1:8" x14ac:dyDescent="0.2">
      <c r="A66" s="199"/>
      <c r="B66" s="40"/>
      <c r="C66" s="68"/>
      <c r="D66" s="169"/>
      <c r="E66" s="245">
        <f>((C66/50)*D66)</f>
        <v>0</v>
      </c>
      <c r="G66" s="33"/>
      <c r="H66" s="33"/>
    </row>
    <row r="67" spans="1:8" x14ac:dyDescent="0.2">
      <c r="A67" s="60"/>
      <c r="B67" s="40"/>
      <c r="C67" s="68"/>
      <c r="D67" s="169"/>
      <c r="E67" s="245">
        <f>((C67/50)*D67)</f>
        <v>0</v>
      </c>
      <c r="G67" s="33"/>
      <c r="H67" s="33"/>
    </row>
    <row r="68" spans="1:8" x14ac:dyDescent="0.2">
      <c r="A68" s="5"/>
      <c r="B68" s="5"/>
      <c r="C68" s="7" t="s">
        <v>298</v>
      </c>
      <c r="D68" s="54" t="s">
        <v>235</v>
      </c>
      <c r="E68" s="7" t="s">
        <v>240</v>
      </c>
    </row>
    <row r="69" spans="1:8" x14ac:dyDescent="0.2">
      <c r="A69" s="48" t="s">
        <v>173</v>
      </c>
      <c r="B69" s="48"/>
      <c r="C69" s="77">
        <v>0</v>
      </c>
      <c r="D69" s="170"/>
      <c r="E69" s="248">
        <f>D69*C69</f>
        <v>0</v>
      </c>
    </row>
    <row r="70" spans="1:8" x14ac:dyDescent="0.2">
      <c r="A70" s="48" t="s">
        <v>81</v>
      </c>
      <c r="B70" s="48"/>
      <c r="C70" s="68"/>
      <c r="D70" s="169"/>
      <c r="E70" s="324">
        <f>D70*C70</f>
        <v>0</v>
      </c>
    </row>
    <row r="71" spans="1:8" x14ac:dyDescent="0.2">
      <c r="A71" s="48"/>
      <c r="B71" s="48"/>
      <c r="C71" s="225" t="s">
        <v>260</v>
      </c>
      <c r="D71" s="234" t="s">
        <v>261</v>
      </c>
      <c r="E71" s="227" t="s">
        <v>240</v>
      </c>
    </row>
    <row r="72" spans="1:8" x14ac:dyDescent="0.2">
      <c r="A72" s="48" t="s">
        <v>81</v>
      </c>
      <c r="B72" s="48"/>
      <c r="C72" s="68"/>
      <c r="D72" s="169"/>
      <c r="E72" s="324">
        <f>D72*C72</f>
        <v>0</v>
      </c>
    </row>
    <row r="73" spans="1:8" x14ac:dyDescent="0.2">
      <c r="A73" s="146" t="s">
        <v>196</v>
      </c>
      <c r="B73" s="153"/>
      <c r="C73" s="158"/>
      <c r="D73" s="157"/>
      <c r="E73" s="249">
        <f>E64+E69+E70+E72</f>
        <v>60</v>
      </c>
    </row>
    <row r="74" spans="1:8" x14ac:dyDescent="0.2">
      <c r="A74" s="110" t="s">
        <v>92</v>
      </c>
      <c r="B74" s="106"/>
      <c r="C74" s="107"/>
      <c r="D74" s="108"/>
      <c r="E74" s="145"/>
      <c r="F74" s="92"/>
    </row>
    <row r="75" spans="1:8" x14ac:dyDescent="0.2">
      <c r="A75" s="65" t="s">
        <v>2</v>
      </c>
      <c r="B75" s="4"/>
      <c r="C75" s="162"/>
      <c r="D75" s="83"/>
      <c r="E75" s="8" t="s">
        <v>67</v>
      </c>
      <c r="G75" s="31"/>
      <c r="H75" s="31"/>
    </row>
    <row r="76" spans="1:8" x14ac:dyDescent="0.2">
      <c r="A76" s="33" t="s">
        <v>126</v>
      </c>
      <c r="B76" s="4"/>
      <c r="C76" s="162"/>
      <c r="D76" s="83"/>
      <c r="E76" s="217">
        <v>0</v>
      </c>
      <c r="G76" s="31"/>
      <c r="H76" s="31"/>
    </row>
    <row r="77" spans="1:8" x14ac:dyDescent="0.2">
      <c r="A77" s="40" t="s">
        <v>99</v>
      </c>
      <c r="B77" s="4"/>
      <c r="C77" s="162"/>
      <c r="D77" s="83"/>
      <c r="E77" s="90">
        <v>0</v>
      </c>
      <c r="G77" s="31"/>
      <c r="H77" s="31"/>
    </row>
    <row r="78" spans="1:8" x14ac:dyDescent="0.2">
      <c r="A78" s="33" t="s">
        <v>127</v>
      </c>
      <c r="B78" s="4"/>
      <c r="C78" s="9"/>
      <c r="D78" s="163"/>
      <c r="E78" s="90">
        <v>0</v>
      </c>
      <c r="G78" s="31"/>
      <c r="H78" s="31"/>
    </row>
    <row r="79" spans="1:8" x14ac:dyDescent="0.2">
      <c r="A79" s="40" t="s">
        <v>99</v>
      </c>
      <c r="B79" s="4"/>
      <c r="C79" s="9"/>
      <c r="D79" s="163"/>
      <c r="E79" s="90">
        <v>0</v>
      </c>
      <c r="G79" s="31"/>
      <c r="H79" s="31"/>
    </row>
    <row r="80" spans="1:8" x14ac:dyDescent="0.2">
      <c r="A80" s="33" t="s">
        <v>128</v>
      </c>
      <c r="B80" s="4"/>
      <c r="C80" s="9"/>
      <c r="D80" s="163"/>
      <c r="E80" s="90">
        <v>0</v>
      </c>
      <c r="G80" s="31"/>
      <c r="H80" s="31"/>
    </row>
    <row r="81" spans="1:8" x14ac:dyDescent="0.2">
      <c r="A81" s="40" t="s">
        <v>99</v>
      </c>
      <c r="B81" s="4"/>
      <c r="C81" s="9"/>
      <c r="D81" s="163"/>
      <c r="E81" s="90">
        <v>0</v>
      </c>
      <c r="G81" s="31"/>
      <c r="H81" s="31"/>
    </row>
    <row r="82" spans="1:8" x14ac:dyDescent="0.2">
      <c r="A82" s="143" t="s">
        <v>129</v>
      </c>
      <c r="B82" s="3"/>
      <c r="C82" s="42"/>
      <c r="D82" s="164"/>
      <c r="E82" s="90">
        <v>0</v>
      </c>
      <c r="G82" s="30"/>
      <c r="H82" s="30"/>
    </row>
    <row r="83" spans="1:8" x14ac:dyDescent="0.2">
      <c r="A83" s="143" t="s">
        <v>99</v>
      </c>
      <c r="B83" s="3"/>
      <c r="C83" s="42"/>
      <c r="D83" s="164"/>
      <c r="E83" s="90">
        <v>0</v>
      </c>
      <c r="G83" s="20"/>
      <c r="H83" s="20"/>
    </row>
    <row r="84" spans="1:8" x14ac:dyDescent="0.2">
      <c r="A84" s="65" t="s">
        <v>8</v>
      </c>
      <c r="B84" s="4"/>
      <c r="C84" s="9"/>
      <c r="D84" s="3"/>
      <c r="E84" s="169">
        <v>0</v>
      </c>
    </row>
    <row r="85" spans="1:8" x14ac:dyDescent="0.2">
      <c r="A85" s="40" t="s">
        <v>130</v>
      </c>
      <c r="B85" s="4"/>
      <c r="C85" s="9"/>
      <c r="D85" s="3"/>
      <c r="E85" s="169">
        <v>0</v>
      </c>
    </row>
    <row r="86" spans="1:8" x14ac:dyDescent="0.2">
      <c r="A86" s="40" t="s">
        <v>99</v>
      </c>
      <c r="B86" s="4"/>
      <c r="C86" s="9"/>
      <c r="D86" s="3"/>
      <c r="E86" s="169">
        <v>0</v>
      </c>
    </row>
    <row r="87" spans="1:8" x14ac:dyDescent="0.2">
      <c r="A87" s="37" t="s">
        <v>131</v>
      </c>
      <c r="B87" s="3"/>
      <c r="C87" s="42"/>
      <c r="D87" s="164"/>
      <c r="E87" s="90">
        <v>0</v>
      </c>
    </row>
    <row r="88" spans="1:8" x14ac:dyDescent="0.2">
      <c r="A88" s="37" t="s">
        <v>99</v>
      </c>
      <c r="B88" s="3"/>
      <c r="C88" s="42"/>
      <c r="D88" s="164"/>
      <c r="E88" s="90">
        <v>0</v>
      </c>
    </row>
    <row r="89" spans="1:8" x14ac:dyDescent="0.2">
      <c r="A89" s="37" t="s">
        <v>131</v>
      </c>
      <c r="B89" s="3"/>
      <c r="C89" s="42"/>
      <c r="D89" s="164"/>
      <c r="E89" s="90">
        <v>0</v>
      </c>
    </row>
    <row r="90" spans="1:8" x14ac:dyDescent="0.2">
      <c r="A90" s="37" t="s">
        <v>99</v>
      </c>
      <c r="B90" s="3"/>
      <c r="C90" s="42"/>
      <c r="D90" s="164"/>
      <c r="E90" s="90">
        <v>0</v>
      </c>
    </row>
    <row r="91" spans="1:8" x14ac:dyDescent="0.2">
      <c r="A91" s="65" t="s">
        <v>12</v>
      </c>
      <c r="B91" s="4"/>
      <c r="C91" s="9"/>
      <c r="D91" s="3"/>
      <c r="E91" s="169">
        <v>0</v>
      </c>
    </row>
    <row r="92" spans="1:8" ht="13.5" customHeight="1" x14ac:dyDescent="0.2">
      <c r="A92" s="37" t="s">
        <v>175</v>
      </c>
      <c r="B92" s="3"/>
      <c r="C92" s="42"/>
      <c r="D92" s="164"/>
      <c r="E92" s="90">
        <v>0</v>
      </c>
      <c r="H92" s="20"/>
    </row>
    <row r="93" spans="1:8" x14ac:dyDescent="0.2">
      <c r="A93" s="37" t="s">
        <v>99</v>
      </c>
      <c r="B93" s="3"/>
      <c r="C93" s="42"/>
      <c r="D93" s="164"/>
      <c r="E93" s="90">
        <v>0</v>
      </c>
    </row>
    <row r="94" spans="1:8" x14ac:dyDescent="0.2">
      <c r="A94" s="37" t="s">
        <v>176</v>
      </c>
      <c r="B94" s="3"/>
      <c r="C94" s="42"/>
      <c r="D94" s="164"/>
      <c r="E94" s="90">
        <v>0</v>
      </c>
    </row>
    <row r="95" spans="1:8" x14ac:dyDescent="0.2">
      <c r="A95" s="37" t="s">
        <v>99</v>
      </c>
      <c r="B95" s="3"/>
      <c r="C95" s="42"/>
      <c r="D95" s="164"/>
      <c r="E95" s="90">
        <v>0</v>
      </c>
    </row>
    <row r="96" spans="1:8" x14ac:dyDescent="0.2">
      <c r="A96" s="37" t="s">
        <v>177</v>
      </c>
      <c r="B96" s="3"/>
      <c r="C96" s="42"/>
      <c r="D96" s="164"/>
      <c r="E96" s="90">
        <v>0</v>
      </c>
    </row>
    <row r="97" spans="1:8" x14ac:dyDescent="0.2">
      <c r="A97" s="37" t="s">
        <v>99</v>
      </c>
      <c r="B97" s="3"/>
      <c r="C97" s="42"/>
      <c r="D97" s="164"/>
      <c r="E97" s="90">
        <v>0</v>
      </c>
    </row>
    <row r="98" spans="1:8" x14ac:dyDescent="0.2">
      <c r="A98" s="143" t="s">
        <v>30</v>
      </c>
      <c r="B98" s="3"/>
      <c r="C98" s="42"/>
      <c r="D98" s="164"/>
      <c r="E98" s="90">
        <v>0</v>
      </c>
    </row>
    <row r="99" spans="1:8" x14ac:dyDescent="0.2">
      <c r="A99" s="143" t="s">
        <v>31</v>
      </c>
      <c r="B99" s="3"/>
      <c r="C99" s="42"/>
      <c r="D99" s="164"/>
      <c r="E99" s="90">
        <v>0</v>
      </c>
    </row>
    <row r="100" spans="1:8" x14ac:dyDescent="0.2">
      <c r="A100" s="156" t="s">
        <v>198</v>
      </c>
      <c r="B100" s="157"/>
      <c r="C100" s="148"/>
      <c r="D100" s="165"/>
      <c r="E100" s="250">
        <f>SUM(E76:E99)</f>
        <v>0</v>
      </c>
    </row>
    <row r="101" spans="1:8" x14ac:dyDescent="0.2">
      <c r="A101" s="131" t="s">
        <v>10</v>
      </c>
      <c r="B101" s="105"/>
      <c r="C101" s="130"/>
      <c r="D101" s="109"/>
      <c r="E101" s="109"/>
      <c r="F101" s="92"/>
    </row>
    <row r="102" spans="1:8" x14ac:dyDescent="0.2">
      <c r="A102" s="144"/>
      <c r="B102" s="3"/>
      <c r="C102" s="9"/>
      <c r="D102" s="10"/>
      <c r="E102" s="7" t="s">
        <v>240</v>
      </c>
    </row>
    <row r="103" spans="1:8" x14ac:dyDescent="0.2">
      <c r="A103" s="143" t="s">
        <v>118</v>
      </c>
      <c r="B103" s="3"/>
      <c r="C103" s="42"/>
      <c r="D103" s="43"/>
      <c r="E103" s="90">
        <v>0</v>
      </c>
    </row>
    <row r="104" spans="1:8" x14ac:dyDescent="0.2">
      <c r="A104" s="143"/>
      <c r="B104" s="3"/>
      <c r="C104" s="225" t="s">
        <v>116</v>
      </c>
      <c r="D104" s="226" t="s">
        <v>257</v>
      </c>
      <c r="E104" s="7" t="s">
        <v>240</v>
      </c>
    </row>
    <row r="105" spans="1:8" x14ac:dyDescent="0.2">
      <c r="A105" s="20" t="s">
        <v>115</v>
      </c>
      <c r="B105" s="5"/>
      <c r="C105" s="150">
        <v>0</v>
      </c>
      <c r="D105" s="151">
        <v>5.5</v>
      </c>
      <c r="E105" s="246">
        <f>+C105*D105</f>
        <v>0</v>
      </c>
    </row>
    <row r="106" spans="1:8" x14ac:dyDescent="0.2">
      <c r="A106" s="152" t="s">
        <v>117</v>
      </c>
      <c r="B106" s="153"/>
      <c r="C106" s="154"/>
      <c r="D106" s="155"/>
      <c r="E106" s="250">
        <f>E105+E103</f>
        <v>0</v>
      </c>
    </row>
    <row r="107" spans="1:8" ht="15" x14ac:dyDescent="0.25">
      <c r="A107" s="110" t="s">
        <v>93</v>
      </c>
      <c r="B107" s="103"/>
      <c r="C107" s="104"/>
      <c r="D107" s="105"/>
      <c r="E107" s="105"/>
      <c r="F107" s="92"/>
      <c r="H107" s="129"/>
    </row>
    <row r="108" spans="1:8" ht="13.5" customHeight="1" x14ac:dyDescent="0.2">
      <c r="A108" s="18"/>
      <c r="B108" s="4"/>
      <c r="C108" s="3"/>
      <c r="D108" s="3"/>
      <c r="E108" s="7" t="s">
        <v>240</v>
      </c>
    </row>
    <row r="109" spans="1:8" ht="13.5" customHeight="1" x14ac:dyDescent="0.2">
      <c r="A109" s="33" t="s">
        <v>232</v>
      </c>
      <c r="B109" s="4"/>
      <c r="C109" s="3"/>
      <c r="D109" s="3"/>
      <c r="E109" s="173">
        <v>0</v>
      </c>
    </row>
    <row r="110" spans="1:8" x14ac:dyDescent="0.2">
      <c r="A110" s="33" t="s">
        <v>28</v>
      </c>
      <c r="B110" s="4"/>
      <c r="C110" s="42"/>
      <c r="D110" s="43"/>
      <c r="E110" s="90">
        <v>0</v>
      </c>
    </row>
    <row r="111" spans="1:8" x14ac:dyDescent="0.2">
      <c r="A111" s="33" t="s">
        <v>102</v>
      </c>
      <c r="B111" s="4"/>
      <c r="C111" s="42"/>
      <c r="D111" s="43"/>
      <c r="E111" s="90">
        <v>0</v>
      </c>
    </row>
    <row r="112" spans="1:8" ht="15" x14ac:dyDescent="0.25">
      <c r="A112" s="33" t="s">
        <v>91</v>
      </c>
      <c r="B112" s="40" t="s">
        <v>233</v>
      </c>
      <c r="C112" s="42"/>
      <c r="D112" s="43"/>
      <c r="E112" s="90">
        <v>0</v>
      </c>
      <c r="H112" s="128"/>
    </row>
    <row r="113" spans="1:8" ht="15" x14ac:dyDescent="0.25">
      <c r="A113" s="33" t="s">
        <v>101</v>
      </c>
      <c r="B113" s="40"/>
      <c r="C113" s="42"/>
      <c r="D113" s="43"/>
      <c r="E113" s="193">
        <v>2.5</v>
      </c>
      <c r="H113" s="128"/>
    </row>
    <row r="114" spans="1:8" x14ac:dyDescent="0.2">
      <c r="A114" s="146" t="s">
        <v>120</v>
      </c>
      <c r="B114" s="147"/>
      <c r="C114" s="148"/>
      <c r="D114" s="149"/>
      <c r="E114" s="250">
        <f>SUM(E109:E113)</f>
        <v>2.5</v>
      </c>
    </row>
    <row r="115" spans="1:8" x14ac:dyDescent="0.2">
      <c r="A115" s="92"/>
      <c r="B115" s="103"/>
      <c r="C115" s="135"/>
      <c r="D115" s="136"/>
      <c r="E115" s="133"/>
      <c r="F115" s="92"/>
    </row>
    <row r="116" spans="1:8" x14ac:dyDescent="0.2">
      <c r="A116" s="287" t="s">
        <v>202</v>
      </c>
      <c r="B116" s="288"/>
      <c r="C116" s="289"/>
      <c r="D116" s="290"/>
      <c r="E116" s="250">
        <f>E60+E73+E100+E106+E114</f>
        <v>216.5</v>
      </c>
    </row>
    <row r="117" spans="1:8" x14ac:dyDescent="0.2">
      <c r="A117" s="14"/>
      <c r="B117" s="3"/>
      <c r="C117" s="9"/>
      <c r="D117" s="10"/>
      <c r="E117" s="126"/>
    </row>
    <row r="118" spans="1:8" x14ac:dyDescent="0.2">
      <c r="A118" s="111" t="s">
        <v>100</v>
      </c>
      <c r="B118" s="92"/>
      <c r="C118" s="127"/>
      <c r="D118" s="103"/>
      <c r="E118" s="92"/>
      <c r="F118" s="92"/>
    </row>
    <row r="119" spans="1:8" x14ac:dyDescent="0.2">
      <c r="A119" s="11" t="s">
        <v>121</v>
      </c>
      <c r="C119" s="219" t="s">
        <v>256</v>
      </c>
      <c r="D119" s="228" t="s">
        <v>255</v>
      </c>
      <c r="E119" s="7" t="s">
        <v>240</v>
      </c>
    </row>
    <row r="120" spans="1:8" x14ac:dyDescent="0.2">
      <c r="A120" s="199" t="s">
        <v>82</v>
      </c>
      <c r="B120" s="4"/>
      <c r="C120" s="68">
        <v>1</v>
      </c>
      <c r="D120" s="89">
        <v>20</v>
      </c>
      <c r="E120" s="241">
        <f>C120*D120</f>
        <v>20</v>
      </c>
    </row>
    <row r="121" spans="1:8" x14ac:dyDescent="0.2">
      <c r="A121" s="199" t="s">
        <v>9</v>
      </c>
      <c r="B121" s="4"/>
      <c r="C121" s="68">
        <v>1</v>
      </c>
      <c r="D121" s="90">
        <v>18</v>
      </c>
      <c r="E121" s="241">
        <f t="shared" ref="E121:E128" si="3">C121*D121</f>
        <v>18</v>
      </c>
    </row>
    <row r="122" spans="1:8" x14ac:dyDescent="0.2">
      <c r="A122" s="199" t="s">
        <v>403</v>
      </c>
      <c r="B122" s="4"/>
      <c r="C122" s="68">
        <v>0</v>
      </c>
      <c r="D122" s="90">
        <v>35</v>
      </c>
      <c r="E122" s="241">
        <f t="shared" si="3"/>
        <v>0</v>
      </c>
    </row>
    <row r="123" spans="1:8" x14ac:dyDescent="0.2">
      <c r="A123" s="199" t="s">
        <v>42</v>
      </c>
      <c r="B123" s="4"/>
      <c r="C123" s="68">
        <v>1</v>
      </c>
      <c r="D123" s="90">
        <v>22.5</v>
      </c>
      <c r="E123" s="241">
        <f t="shared" si="3"/>
        <v>22.5</v>
      </c>
    </row>
    <row r="124" spans="1:8" x14ac:dyDescent="0.2">
      <c r="A124" s="199"/>
      <c r="B124" s="4"/>
      <c r="C124" s="68"/>
      <c r="D124" s="90">
        <v>0</v>
      </c>
      <c r="E124" s="241">
        <f t="shared" si="3"/>
        <v>0</v>
      </c>
    </row>
    <row r="125" spans="1:8" ht="14.25" customHeight="1" x14ac:dyDescent="0.2">
      <c r="A125" s="213" t="s">
        <v>108</v>
      </c>
      <c r="B125" s="4"/>
      <c r="C125" s="68">
        <v>0</v>
      </c>
      <c r="D125" s="90">
        <v>18</v>
      </c>
      <c r="E125" s="241">
        <f t="shared" si="3"/>
        <v>0</v>
      </c>
    </row>
    <row r="126" spans="1:8" ht="14.25" customHeight="1" x14ac:dyDescent="0.2">
      <c r="A126" s="213"/>
      <c r="B126" s="4"/>
      <c r="C126" s="68"/>
      <c r="D126" s="90">
        <v>0</v>
      </c>
      <c r="E126" s="241">
        <v>0</v>
      </c>
    </row>
    <row r="127" spans="1:8" ht="14.25" customHeight="1" x14ac:dyDescent="0.2">
      <c r="A127" s="213"/>
      <c r="B127" s="4"/>
      <c r="C127" s="68"/>
      <c r="D127" s="90">
        <v>0</v>
      </c>
      <c r="E127" s="241">
        <v>0</v>
      </c>
    </row>
    <row r="128" spans="1:8" ht="12" customHeight="1" x14ac:dyDescent="0.2">
      <c r="A128" s="213"/>
      <c r="B128" s="3"/>
      <c r="C128" s="68"/>
      <c r="D128" s="90">
        <v>0</v>
      </c>
      <c r="E128" s="241">
        <f t="shared" si="3"/>
        <v>0</v>
      </c>
    </row>
    <row r="129" spans="1:19" ht="12.75" customHeight="1" x14ac:dyDescent="0.2">
      <c r="A129" s="199"/>
      <c r="B129" s="292"/>
      <c r="C129" s="68"/>
      <c r="D129" s="90">
        <v>0</v>
      </c>
      <c r="E129" s="245">
        <f>C129*D129</f>
        <v>0</v>
      </c>
    </row>
    <row r="130" spans="1:19" ht="12" customHeight="1" x14ac:dyDescent="0.2">
      <c r="A130" s="287" t="s">
        <v>183</v>
      </c>
      <c r="B130" s="288"/>
      <c r="C130" s="289"/>
      <c r="D130" s="291"/>
      <c r="E130" s="250">
        <f>SUM(E120:E129)</f>
        <v>60.5</v>
      </c>
      <c r="H130" s="322" t="s">
        <v>336</v>
      </c>
    </row>
    <row r="131" spans="1:19" ht="12" customHeight="1" x14ac:dyDescent="0.2">
      <c r="A131" s="8"/>
      <c r="B131" s="3"/>
      <c r="C131" s="9"/>
      <c r="D131" s="3"/>
      <c r="E131" s="126"/>
      <c r="H131" s="323" t="s">
        <v>355</v>
      </c>
    </row>
    <row r="132" spans="1:19" ht="12.75" customHeight="1" x14ac:dyDescent="0.2">
      <c r="A132" s="14" t="s">
        <v>220</v>
      </c>
      <c r="B132" s="3"/>
      <c r="C132" s="7" t="s">
        <v>312</v>
      </c>
      <c r="D132" s="7" t="s">
        <v>255</v>
      </c>
      <c r="E132" s="7" t="s">
        <v>240</v>
      </c>
    </row>
    <row r="133" spans="1:19" ht="12.75" customHeight="1" x14ac:dyDescent="0.2">
      <c r="A133" s="196" t="s">
        <v>346</v>
      </c>
      <c r="B133" s="3"/>
      <c r="C133" s="68">
        <v>3</v>
      </c>
      <c r="D133" s="91">
        <v>18</v>
      </c>
      <c r="E133" s="245">
        <f>C133*D133</f>
        <v>54</v>
      </c>
      <c r="H133" s="322" t="s">
        <v>334</v>
      </c>
    </row>
    <row r="134" spans="1:19" ht="12.75" customHeight="1" x14ac:dyDescent="0.2">
      <c r="A134" s="199" t="s">
        <v>347</v>
      </c>
      <c r="B134" s="40"/>
      <c r="C134" s="68">
        <v>3</v>
      </c>
      <c r="D134" s="91">
        <v>18</v>
      </c>
      <c r="E134" s="245">
        <f t="shared" ref="E134:E140" si="4">C134*D134</f>
        <v>54</v>
      </c>
      <c r="H134" s="323" t="s">
        <v>335</v>
      </c>
      <c r="S134" s="4"/>
    </row>
    <row r="135" spans="1:19" ht="12.75" customHeight="1" x14ac:dyDescent="0.2">
      <c r="A135" s="199" t="s">
        <v>348</v>
      </c>
      <c r="B135" s="4"/>
      <c r="C135" s="68">
        <v>3</v>
      </c>
      <c r="D135" s="91">
        <v>70</v>
      </c>
      <c r="E135" s="245">
        <f t="shared" si="4"/>
        <v>210</v>
      </c>
      <c r="H135" s="36" t="s">
        <v>357</v>
      </c>
      <c r="S135" s="4"/>
    </row>
    <row r="136" spans="1:19" ht="12.75" customHeight="1" x14ac:dyDescent="0.2">
      <c r="A136" s="199"/>
      <c r="B136" s="40"/>
      <c r="C136" s="68"/>
      <c r="D136" s="91">
        <v>0</v>
      </c>
      <c r="E136" s="245">
        <f t="shared" si="4"/>
        <v>0</v>
      </c>
      <c r="S136" s="4"/>
    </row>
    <row r="137" spans="1:19" ht="12.75" customHeight="1" x14ac:dyDescent="0.2">
      <c r="A137" s="199"/>
      <c r="B137" s="40"/>
      <c r="C137" s="68"/>
      <c r="D137" s="91">
        <v>0</v>
      </c>
      <c r="E137" s="245">
        <f t="shared" si="4"/>
        <v>0</v>
      </c>
      <c r="H137" t="s">
        <v>358</v>
      </c>
      <c r="S137" s="4"/>
    </row>
    <row r="138" spans="1:19" ht="12.75" customHeight="1" x14ac:dyDescent="0.2">
      <c r="A138" s="199"/>
      <c r="B138" s="40"/>
      <c r="C138" s="68"/>
      <c r="D138" s="91">
        <v>0</v>
      </c>
      <c r="E138" s="245">
        <f t="shared" si="4"/>
        <v>0</v>
      </c>
      <c r="H138" s="323" t="s">
        <v>359</v>
      </c>
      <c r="S138" s="4"/>
    </row>
    <row r="139" spans="1:19" ht="12.75" customHeight="1" x14ac:dyDescent="0.2">
      <c r="A139" s="199"/>
      <c r="B139" s="40"/>
      <c r="C139" s="68"/>
      <c r="D139" s="91">
        <v>0</v>
      </c>
      <c r="E139" s="245">
        <f t="shared" si="4"/>
        <v>0</v>
      </c>
      <c r="S139" s="4"/>
    </row>
    <row r="140" spans="1:19" ht="12.75" customHeight="1" x14ac:dyDescent="0.2">
      <c r="A140" s="199"/>
      <c r="B140" s="295"/>
      <c r="C140" s="68"/>
      <c r="D140" s="90">
        <v>0</v>
      </c>
      <c r="E140" s="245">
        <f t="shared" si="4"/>
        <v>0</v>
      </c>
      <c r="H140" s="322" t="s">
        <v>337</v>
      </c>
      <c r="S140" s="4"/>
    </row>
    <row r="141" spans="1:19" ht="12.75" customHeight="1" x14ac:dyDescent="0.2">
      <c r="A141" s="168" t="s">
        <v>221</v>
      </c>
      <c r="B141" s="132"/>
      <c r="C141" s="293"/>
      <c r="D141" s="297"/>
      <c r="E141" s="298">
        <f>SUM(E133:E140)</f>
        <v>318</v>
      </c>
      <c r="H141" s="323" t="s">
        <v>338</v>
      </c>
      <c r="S141" s="4"/>
    </row>
    <row r="142" spans="1:19" ht="12.75" customHeight="1" x14ac:dyDescent="0.2">
      <c r="A142" s="40"/>
      <c r="B142" s="40"/>
      <c r="C142" s="42"/>
      <c r="D142" s="164"/>
      <c r="E142" s="93"/>
      <c r="S142" s="4"/>
    </row>
    <row r="143" spans="1:19" ht="12.75" customHeight="1" x14ac:dyDescent="0.2">
      <c r="A143" s="198" t="s">
        <v>271</v>
      </c>
      <c r="B143" s="7" t="s">
        <v>311</v>
      </c>
      <c r="C143" s="225" t="s">
        <v>268</v>
      </c>
      <c r="D143" s="226" t="s">
        <v>267</v>
      </c>
      <c r="E143" s="7" t="s">
        <v>240</v>
      </c>
      <c r="H143" s="322" t="s">
        <v>339</v>
      </c>
      <c r="S143" s="4"/>
    </row>
    <row r="144" spans="1:19" ht="12.75" customHeight="1" x14ac:dyDescent="0.2">
      <c r="A144" s="199" t="s">
        <v>354</v>
      </c>
      <c r="B144" s="207"/>
      <c r="C144" s="68"/>
      <c r="D144" s="90">
        <v>0</v>
      </c>
      <c r="E144" s="245">
        <f t="shared" ref="E144:E145" si="5">IFERROR((D144/C144)*B144,0)</f>
        <v>0</v>
      </c>
      <c r="H144" s="323" t="s">
        <v>356</v>
      </c>
      <c r="S144" s="4"/>
    </row>
    <row r="145" spans="1:19" ht="12.75" customHeight="1" x14ac:dyDescent="0.2">
      <c r="A145" s="199"/>
      <c r="B145" s="207"/>
      <c r="C145" s="68"/>
      <c r="D145" s="91">
        <v>0</v>
      </c>
      <c r="E145" s="245">
        <f t="shared" si="5"/>
        <v>0</v>
      </c>
      <c r="S145" s="4"/>
    </row>
    <row r="146" spans="1:19" ht="12.75" customHeight="1" x14ac:dyDescent="0.2">
      <c r="A146" s="199"/>
      <c r="B146" s="207"/>
      <c r="C146" s="68"/>
      <c r="D146" s="91">
        <v>0</v>
      </c>
      <c r="E146" s="245">
        <f>IFERROR((D146/C146)*B146,0)</f>
        <v>0</v>
      </c>
      <c r="S146" s="4"/>
    </row>
    <row r="147" spans="1:19" ht="12.75" customHeight="1" x14ac:dyDescent="0.2">
      <c r="A147" s="199"/>
      <c r="B147" s="207"/>
      <c r="C147" s="68"/>
      <c r="D147" s="91">
        <v>0</v>
      </c>
      <c r="E147" s="245">
        <f t="shared" ref="E147:E151" si="6">IFERROR((D147/C147)*B147,0)</f>
        <v>0</v>
      </c>
      <c r="S147" s="4"/>
    </row>
    <row r="148" spans="1:19" ht="12.75" customHeight="1" x14ac:dyDescent="0.2">
      <c r="A148" s="199"/>
      <c r="B148" s="207"/>
      <c r="C148" s="68"/>
      <c r="D148" s="91">
        <v>0</v>
      </c>
      <c r="E148" s="245">
        <f t="shared" si="6"/>
        <v>0</v>
      </c>
      <c r="S148" s="4"/>
    </row>
    <row r="149" spans="1:19" ht="12.75" customHeight="1" x14ac:dyDescent="0.2">
      <c r="A149" s="199"/>
      <c r="B149" s="207"/>
      <c r="C149" s="68"/>
      <c r="D149" s="91">
        <v>0</v>
      </c>
      <c r="E149" s="245">
        <f t="shared" si="6"/>
        <v>0</v>
      </c>
      <c r="S149" s="4"/>
    </row>
    <row r="150" spans="1:19" ht="12.75" customHeight="1" x14ac:dyDescent="0.2">
      <c r="A150" s="230"/>
      <c r="B150" s="207"/>
      <c r="C150" s="77"/>
      <c r="D150" s="174">
        <v>0</v>
      </c>
      <c r="E150" s="245">
        <f t="shared" si="6"/>
        <v>0</v>
      </c>
      <c r="S150" s="4"/>
    </row>
    <row r="151" spans="1:19" ht="12.75" customHeight="1" x14ac:dyDescent="0.2">
      <c r="A151" s="199"/>
      <c r="B151" s="207"/>
      <c r="C151" s="68"/>
      <c r="D151" s="90">
        <v>0</v>
      </c>
      <c r="E151" s="245">
        <f t="shared" si="6"/>
        <v>0</v>
      </c>
      <c r="S151" s="4"/>
    </row>
    <row r="152" spans="1:19" ht="12.75" customHeight="1" x14ac:dyDescent="0.2">
      <c r="A152" s="302" t="s">
        <v>222</v>
      </c>
      <c r="B152" s="303"/>
      <c r="C152" s="304"/>
      <c r="D152" s="305"/>
      <c r="E152" s="250">
        <f>SUM(E144:E151)</f>
        <v>0</v>
      </c>
      <c r="S152" s="4"/>
    </row>
    <row r="153" spans="1:19" ht="12.75" customHeight="1" x14ac:dyDescent="0.2">
      <c r="A153" s="40"/>
      <c r="B153" s="40"/>
      <c r="C153" s="42"/>
      <c r="D153" s="164"/>
      <c r="E153" s="93"/>
      <c r="S153" s="4"/>
    </row>
    <row r="154" spans="1:19" ht="12.75" customHeight="1" x14ac:dyDescent="0.2">
      <c r="A154" s="260" t="s">
        <v>309</v>
      </c>
      <c r="B154" s="40"/>
      <c r="C154" s="225" t="s">
        <v>310</v>
      </c>
      <c r="D154" s="234" t="s">
        <v>301</v>
      </c>
      <c r="E154" s="93"/>
      <c r="S154" s="4"/>
    </row>
    <row r="155" spans="1:19" ht="12.75" customHeight="1" x14ac:dyDescent="0.2">
      <c r="A155" s="199"/>
      <c r="B155" s="40"/>
      <c r="C155" s="68"/>
      <c r="D155" s="90">
        <v>0</v>
      </c>
      <c r="E155" s="245">
        <f>C155*D155</f>
        <v>0</v>
      </c>
      <c r="S155" s="4"/>
    </row>
    <row r="156" spans="1:19" ht="12.75" customHeight="1" x14ac:dyDescent="0.2">
      <c r="A156" s="199"/>
      <c r="B156" s="40"/>
      <c r="C156" s="68"/>
      <c r="D156" s="91">
        <v>0</v>
      </c>
      <c r="E156" s="245">
        <f t="shared" ref="E156:E161" si="7">C156*D156</f>
        <v>0</v>
      </c>
      <c r="S156" s="4"/>
    </row>
    <row r="157" spans="1:19" ht="12.75" customHeight="1" x14ac:dyDescent="0.2">
      <c r="A157" s="199" t="s">
        <v>210</v>
      </c>
      <c r="B157" s="40"/>
      <c r="C157" s="68"/>
      <c r="D157" s="91">
        <v>0</v>
      </c>
      <c r="E157" s="245">
        <f t="shared" si="7"/>
        <v>0</v>
      </c>
      <c r="S157" s="4"/>
    </row>
    <row r="158" spans="1:19" ht="12.75" customHeight="1" x14ac:dyDescent="0.2">
      <c r="A158" s="199"/>
      <c r="B158" s="40"/>
      <c r="C158" s="68"/>
      <c r="D158" s="91">
        <v>0</v>
      </c>
      <c r="E158" s="245">
        <f t="shared" si="7"/>
        <v>0</v>
      </c>
      <c r="S158" s="4"/>
    </row>
    <row r="159" spans="1:19" ht="12.75" customHeight="1" x14ac:dyDescent="0.2">
      <c r="A159" s="199"/>
      <c r="B159" s="40"/>
      <c r="C159" s="68"/>
      <c r="D159" s="91">
        <v>0</v>
      </c>
      <c r="E159" s="245">
        <f t="shared" si="7"/>
        <v>0</v>
      </c>
      <c r="S159" s="4"/>
    </row>
    <row r="160" spans="1:19" ht="12.75" customHeight="1" x14ac:dyDescent="0.2">
      <c r="A160" s="199"/>
      <c r="B160" s="40"/>
      <c r="C160" s="68"/>
      <c r="D160" s="91">
        <v>0</v>
      </c>
      <c r="E160" s="245">
        <f t="shared" si="7"/>
        <v>0</v>
      </c>
      <c r="S160" s="4"/>
    </row>
    <row r="161" spans="1:19" ht="12.75" customHeight="1" x14ac:dyDescent="0.2">
      <c r="A161" s="199"/>
      <c r="B161" s="295"/>
      <c r="C161" s="68"/>
      <c r="D161" s="90">
        <v>0</v>
      </c>
      <c r="E161" s="245">
        <f t="shared" si="7"/>
        <v>0</v>
      </c>
      <c r="S161" s="4"/>
    </row>
    <row r="162" spans="1:19" ht="12.75" customHeight="1" x14ac:dyDescent="0.2">
      <c r="A162" s="301" t="s">
        <v>223</v>
      </c>
      <c r="B162" s="132"/>
      <c r="C162" s="293"/>
      <c r="D162" s="297"/>
      <c r="E162" s="250">
        <f>SUM(E155:E161)</f>
        <v>0</v>
      </c>
      <c r="S162" s="4"/>
    </row>
    <row r="163" spans="1:19" ht="12.75" customHeight="1" x14ac:dyDescent="0.2">
      <c r="A163" s="40"/>
      <c r="B163" s="40"/>
      <c r="C163" s="42"/>
      <c r="D163" s="164"/>
      <c r="E163" s="93"/>
      <c r="S163" s="4"/>
    </row>
    <row r="164" spans="1:19" ht="12.75" customHeight="1" x14ac:dyDescent="0.2">
      <c r="A164" s="260" t="s">
        <v>273</v>
      </c>
      <c r="B164" s="40"/>
      <c r="C164" s="225" t="s">
        <v>308</v>
      </c>
      <c r="D164" s="226" t="s">
        <v>239</v>
      </c>
      <c r="E164" s="93"/>
      <c r="S164" s="4"/>
    </row>
    <row r="165" spans="1:19" ht="12.75" customHeight="1" x14ac:dyDescent="0.2">
      <c r="A165" s="199"/>
      <c r="B165" s="40"/>
      <c r="C165" s="68"/>
      <c r="D165" s="90">
        <v>0</v>
      </c>
      <c r="E165" s="245">
        <f>C165*D165</f>
        <v>0</v>
      </c>
      <c r="S165" s="4"/>
    </row>
    <row r="166" spans="1:19" ht="12.75" customHeight="1" x14ac:dyDescent="0.2">
      <c r="A166" s="199"/>
      <c r="B166" s="40"/>
      <c r="C166" s="68"/>
      <c r="D166" s="90">
        <v>0</v>
      </c>
      <c r="E166" s="245">
        <f t="shared" ref="E166:E171" si="8">C166*D166</f>
        <v>0</v>
      </c>
      <c r="S166" s="4"/>
    </row>
    <row r="167" spans="1:19" ht="12.75" customHeight="1" x14ac:dyDescent="0.2">
      <c r="A167" s="199"/>
      <c r="B167" s="40"/>
      <c r="C167" s="68"/>
      <c r="D167" s="90">
        <v>0</v>
      </c>
      <c r="E167" s="245">
        <f t="shared" si="8"/>
        <v>0</v>
      </c>
      <c r="S167" s="4"/>
    </row>
    <row r="168" spans="1:19" ht="12.75" customHeight="1" x14ac:dyDescent="0.2">
      <c r="A168" s="199"/>
      <c r="B168" s="40"/>
      <c r="C168" s="68"/>
      <c r="D168" s="90">
        <v>0</v>
      </c>
      <c r="E168" s="245">
        <f t="shared" si="8"/>
        <v>0</v>
      </c>
      <c r="S168" s="4"/>
    </row>
    <row r="169" spans="1:19" ht="12.75" customHeight="1" x14ac:dyDescent="0.2">
      <c r="A169" s="199"/>
      <c r="B169" s="40"/>
      <c r="C169" s="68"/>
      <c r="D169" s="90">
        <v>0</v>
      </c>
      <c r="E169" s="245">
        <f t="shared" si="8"/>
        <v>0</v>
      </c>
      <c r="S169" s="4"/>
    </row>
    <row r="170" spans="1:19" ht="12.75" customHeight="1" x14ac:dyDescent="0.2">
      <c r="A170" s="230"/>
      <c r="B170" s="40"/>
      <c r="C170" s="68"/>
      <c r="D170" s="193">
        <v>0</v>
      </c>
      <c r="E170" s="246">
        <f t="shared" si="8"/>
        <v>0</v>
      </c>
      <c r="S170" s="4"/>
    </row>
    <row r="171" spans="1:19" ht="12.75" customHeight="1" x14ac:dyDescent="0.2">
      <c r="A171" s="199"/>
      <c r="B171" s="295"/>
      <c r="C171" s="68"/>
      <c r="D171" s="90">
        <v>0</v>
      </c>
      <c r="E171" s="245">
        <f t="shared" si="8"/>
        <v>0</v>
      </c>
      <c r="S171" s="4"/>
    </row>
    <row r="172" spans="1:19" ht="12.75" customHeight="1" x14ac:dyDescent="0.2">
      <c r="A172" s="302" t="s">
        <v>224</v>
      </c>
      <c r="B172" s="303"/>
      <c r="C172" s="304"/>
      <c r="D172" s="305"/>
      <c r="E172" s="250">
        <f>SUM(E165:E171)</f>
        <v>0</v>
      </c>
      <c r="S172" s="4"/>
    </row>
    <row r="173" spans="1:19" ht="12.75" customHeight="1" x14ac:dyDescent="0.2">
      <c r="A173" s="40"/>
      <c r="B173" s="40"/>
      <c r="C173" s="42"/>
      <c r="D173" s="164"/>
      <c r="E173" s="93"/>
      <c r="S173" s="4"/>
    </row>
    <row r="174" spans="1:19" ht="12.75" customHeight="1" x14ac:dyDescent="0.2">
      <c r="A174" s="198" t="s">
        <v>34</v>
      </c>
      <c r="B174" s="7" t="s">
        <v>275</v>
      </c>
      <c r="C174" s="225" t="s">
        <v>124</v>
      </c>
      <c r="D174" s="235" t="s">
        <v>253</v>
      </c>
      <c r="E174" s="7" t="s">
        <v>240</v>
      </c>
      <c r="S174" s="4"/>
    </row>
    <row r="175" spans="1:19" ht="12.75" customHeight="1" x14ac:dyDescent="0.2">
      <c r="A175" s="199" t="s">
        <v>134</v>
      </c>
      <c r="B175" s="207">
        <v>15</v>
      </c>
      <c r="C175" s="68">
        <v>0</v>
      </c>
      <c r="D175" s="71">
        <v>4</v>
      </c>
      <c r="E175" s="245">
        <f>((C175*D175)*((C14+C15)/B175))</f>
        <v>0</v>
      </c>
      <c r="S175" s="4"/>
    </row>
    <row r="176" spans="1:19" ht="12.75" customHeight="1" x14ac:dyDescent="0.2">
      <c r="A176" s="230"/>
      <c r="B176" s="207">
        <v>10</v>
      </c>
      <c r="C176" s="77"/>
      <c r="D176" s="174"/>
      <c r="E176" s="246">
        <f>((C176*D176)*(C16/B176))</f>
        <v>0</v>
      </c>
      <c r="S176" s="4"/>
    </row>
    <row r="177" spans="1:19" ht="12.75" customHeight="1" x14ac:dyDescent="0.2">
      <c r="A177" s="146" t="s">
        <v>123</v>
      </c>
      <c r="B177" s="147"/>
      <c r="C177" s="148"/>
      <c r="D177" s="149"/>
      <c r="E177" s="250">
        <f>E141+E152+E162+E172+E175+E176</f>
        <v>318</v>
      </c>
      <c r="S177" s="4"/>
    </row>
    <row r="178" spans="1:19" ht="12.75" customHeight="1" x14ac:dyDescent="0.2">
      <c r="A178" s="110" t="s">
        <v>32</v>
      </c>
      <c r="B178" s="106"/>
      <c r="C178" s="107"/>
      <c r="D178" s="108"/>
      <c r="E178" s="109"/>
      <c r="F178" s="92"/>
      <c r="S178" s="4"/>
    </row>
    <row r="179" spans="1:19" ht="12.75" customHeight="1" x14ac:dyDescent="0.2">
      <c r="A179" s="40"/>
      <c r="B179" s="236" t="s">
        <v>179</v>
      </c>
      <c r="C179" s="236" t="s">
        <v>276</v>
      </c>
      <c r="D179" s="237" t="s">
        <v>277</v>
      </c>
      <c r="E179" s="7" t="s">
        <v>240</v>
      </c>
      <c r="S179" s="4"/>
    </row>
    <row r="180" spans="1:19" ht="12.75" customHeight="1" x14ac:dyDescent="0.2">
      <c r="A180" s="199" t="s">
        <v>212</v>
      </c>
      <c r="B180" s="218">
        <v>1</v>
      </c>
      <c r="C180" s="172">
        <v>260</v>
      </c>
      <c r="D180" s="173">
        <v>1000</v>
      </c>
      <c r="E180" s="274">
        <f>IFERROR(((D180/C180)*($C$14+$C$15))*B180,0)</f>
        <v>46.153846153846153</v>
      </c>
      <c r="S180" s="4"/>
    </row>
    <row r="181" spans="1:19" ht="12.75" customHeight="1" x14ac:dyDescent="0.25">
      <c r="A181" s="199" t="s">
        <v>211</v>
      </c>
      <c r="B181" s="218">
        <v>0</v>
      </c>
      <c r="C181" s="68">
        <v>400</v>
      </c>
      <c r="D181" s="90">
        <v>0</v>
      </c>
      <c r="E181" s="245">
        <f t="shared" ref="E181:E182" si="9">IFERROR(((D181/C181)*($C$14+$C$15))*B181,0)</f>
        <v>0</v>
      </c>
      <c r="H181" s="188" t="s">
        <v>144</v>
      </c>
      <c r="I181" s="177"/>
      <c r="J181" s="177"/>
      <c r="K181" s="177"/>
      <c r="L181" s="178"/>
      <c r="M181" s="179"/>
      <c r="S181" s="4"/>
    </row>
    <row r="182" spans="1:19" ht="12.75" customHeight="1" x14ac:dyDescent="0.25">
      <c r="A182" s="199" t="s">
        <v>181</v>
      </c>
      <c r="B182" s="218"/>
      <c r="C182" s="68"/>
      <c r="D182" s="90"/>
      <c r="E182" s="245">
        <f t="shared" si="9"/>
        <v>0</v>
      </c>
      <c r="H182" s="180" t="s">
        <v>145</v>
      </c>
      <c r="I182" s="181"/>
      <c r="J182" s="181"/>
      <c r="K182" s="182" t="s">
        <v>154</v>
      </c>
      <c r="L182" s="178"/>
      <c r="M182" s="179"/>
      <c r="S182" s="4"/>
    </row>
    <row r="183" spans="1:19" ht="12.75" customHeight="1" x14ac:dyDescent="0.25">
      <c r="A183" s="192"/>
      <c r="B183" s="40" t="s">
        <v>180</v>
      </c>
      <c r="C183" s="134" t="s">
        <v>279</v>
      </c>
      <c r="D183" s="300" t="s">
        <v>278</v>
      </c>
      <c r="E183" s="102"/>
      <c r="H183" s="183" t="s">
        <v>146</v>
      </c>
      <c r="I183" s="181"/>
      <c r="J183" s="181"/>
      <c r="K183" s="181" t="s">
        <v>147</v>
      </c>
      <c r="L183" s="181"/>
      <c r="M183" s="184"/>
      <c r="S183" s="4"/>
    </row>
    <row r="184" spans="1:19" ht="12.75" customHeight="1" x14ac:dyDescent="0.25">
      <c r="A184" s="199" t="s">
        <v>178</v>
      </c>
      <c r="B184" s="207"/>
      <c r="C184" s="68"/>
      <c r="D184" s="90"/>
      <c r="E184" s="245">
        <f>IFERROR(((D184/C184)*($C$14+$C$15))*B184,0)</f>
        <v>0</v>
      </c>
      <c r="H184" s="183" t="s">
        <v>148</v>
      </c>
      <c r="I184" s="181"/>
      <c r="J184" s="181"/>
      <c r="K184" s="181" t="s">
        <v>149</v>
      </c>
      <c r="L184" s="181"/>
      <c r="M184" s="184"/>
      <c r="S184" s="4"/>
    </row>
    <row r="185" spans="1:19" ht="12.75" customHeight="1" x14ac:dyDescent="0.25">
      <c r="A185" s="40"/>
      <c r="B185" s="40"/>
      <c r="C185" s="44"/>
      <c r="D185" s="226" t="s">
        <v>155</v>
      </c>
      <c r="E185" s="7" t="s">
        <v>240</v>
      </c>
      <c r="H185" s="183" t="s">
        <v>150</v>
      </c>
      <c r="I185" s="181"/>
      <c r="J185" s="181"/>
      <c r="K185" s="181" t="s">
        <v>151</v>
      </c>
      <c r="L185" s="181"/>
      <c r="M185" s="184"/>
      <c r="S185" s="4"/>
    </row>
    <row r="186" spans="1:19" ht="12.75" customHeight="1" x14ac:dyDescent="0.25">
      <c r="A186" s="40" t="s">
        <v>213</v>
      </c>
      <c r="B186" s="189"/>
      <c r="C186" s="42"/>
      <c r="D186" s="191">
        <v>0.1</v>
      </c>
      <c r="E186" s="251">
        <f>(E18)*D186</f>
        <v>72</v>
      </c>
      <c r="H186" s="185" t="s">
        <v>152</v>
      </c>
      <c r="I186" s="186"/>
      <c r="J186" s="186"/>
      <c r="K186" s="186" t="s">
        <v>153</v>
      </c>
      <c r="L186" s="186"/>
      <c r="M186" s="187"/>
      <c r="S186" s="4"/>
    </row>
    <row r="187" spans="1:19" ht="12.75" customHeight="1" x14ac:dyDescent="0.2">
      <c r="A187" s="138" t="s">
        <v>104</v>
      </c>
      <c r="B187" s="106"/>
      <c r="C187" s="139"/>
      <c r="D187" s="140"/>
      <c r="E187" s="141"/>
      <c r="F187" s="92"/>
      <c r="S187" s="4"/>
    </row>
    <row r="188" spans="1:19" ht="12.75" customHeight="1" x14ac:dyDescent="0.2">
      <c r="A188" s="40"/>
      <c r="B188" s="40"/>
      <c r="C188" s="225" t="s">
        <v>125</v>
      </c>
      <c r="D188" s="226" t="s">
        <v>105</v>
      </c>
      <c r="E188" s="54" t="s">
        <v>240</v>
      </c>
      <c r="G188" s="20"/>
      <c r="S188" s="4"/>
    </row>
    <row r="189" spans="1:19" ht="12.75" customHeight="1" x14ac:dyDescent="0.2">
      <c r="A189" s="266" t="s">
        <v>45</v>
      </c>
      <c r="B189" s="267"/>
      <c r="C189" s="167">
        <v>1.5</v>
      </c>
      <c r="D189" s="90">
        <v>25</v>
      </c>
      <c r="E189" s="245">
        <f>C189*D189</f>
        <v>37.5</v>
      </c>
      <c r="S189" s="4"/>
    </row>
    <row r="190" spans="1:19" ht="12.75" customHeight="1" x14ac:dyDescent="0.2">
      <c r="A190" s="40"/>
      <c r="B190" s="40"/>
      <c r="C190" s="42"/>
      <c r="D190" s="43"/>
      <c r="E190" s="10"/>
      <c r="S190" s="4"/>
    </row>
    <row r="191" spans="1:19" ht="12.75" customHeight="1" x14ac:dyDescent="0.2">
      <c r="A191" s="106"/>
      <c r="B191" s="112"/>
      <c r="C191" s="107"/>
      <c r="D191" s="108"/>
      <c r="E191" s="142"/>
      <c r="F191" s="92"/>
    </row>
    <row r="192" spans="1:19" ht="12.75" customHeight="1" x14ac:dyDescent="0.2">
      <c r="A192" s="33" t="s">
        <v>113</v>
      </c>
      <c r="C192" s="231">
        <v>7.4999999999999997E-2</v>
      </c>
      <c r="E192" s="241">
        <f>(C192*0.67)*(E116+(0.2*E130))</f>
        <v>11.48715</v>
      </c>
      <c r="G192" s="86" t="s">
        <v>59</v>
      </c>
      <c r="H192" s="87"/>
      <c r="I192" s="87"/>
      <c r="J192" s="87"/>
      <c r="K192" s="87"/>
      <c r="L192" s="88"/>
    </row>
    <row r="193" spans="1:13" ht="12.75" customHeight="1" x14ac:dyDescent="0.2">
      <c r="A193" s="15"/>
      <c r="E193" s="6"/>
      <c r="G193" s="4"/>
      <c r="H193" s="4"/>
      <c r="I193" s="45"/>
      <c r="J193" s="45"/>
      <c r="K193" s="4"/>
      <c r="L193" s="45"/>
      <c r="M193" s="45"/>
    </row>
    <row r="194" spans="1:13" ht="12.75" customHeight="1" x14ac:dyDescent="0.2">
      <c r="A194" s="33" t="s">
        <v>85</v>
      </c>
      <c r="B194" s="4"/>
      <c r="C194" s="44"/>
      <c r="D194" s="43"/>
      <c r="E194" s="243">
        <f>E18*0.05</f>
        <v>36</v>
      </c>
    </row>
    <row r="195" spans="1:13" ht="12.75" customHeight="1" x14ac:dyDescent="0.2">
      <c r="A195" s="20" t="s">
        <v>231</v>
      </c>
      <c r="C195" s="16"/>
      <c r="E195" s="243">
        <f>E116+E130+E177+E180+E181+E182+E184+E189+E192</f>
        <v>690.14099615384623</v>
      </c>
    </row>
    <row r="196" spans="1:13" ht="12.75" customHeight="1" x14ac:dyDescent="0.2">
      <c r="A196" s="20" t="s">
        <v>230</v>
      </c>
      <c r="D196" s="16"/>
      <c r="E196" s="243">
        <f>E18-E195</f>
        <v>29.859003846153769</v>
      </c>
    </row>
    <row r="197" spans="1:13" ht="14.25" x14ac:dyDescent="0.2">
      <c r="A197" s="21"/>
      <c r="C197" s="54"/>
      <c r="D197" s="54"/>
      <c r="E197" s="55"/>
    </row>
    <row r="198" spans="1:13" x14ac:dyDescent="0.2">
      <c r="A198" s="33" t="s">
        <v>218</v>
      </c>
      <c r="B198" s="4"/>
      <c r="C198" s="42"/>
      <c r="D198" s="53"/>
      <c r="E198" s="252">
        <f>E195/(C14+C15)</f>
        <v>57.511749679487188</v>
      </c>
    </row>
    <row r="199" spans="1:13" x14ac:dyDescent="0.2">
      <c r="A199" s="20" t="s">
        <v>219</v>
      </c>
      <c r="B199" s="4"/>
      <c r="E199" s="243">
        <f>E195/(C16+C17)</f>
        <v>164.31928479853485</v>
      </c>
    </row>
    <row r="200" spans="1:13" x14ac:dyDescent="0.2">
      <c r="B200" s="4"/>
    </row>
    <row r="201" spans="1:13" x14ac:dyDescent="0.2">
      <c r="C201" s="355" t="s">
        <v>26</v>
      </c>
      <c r="D201" s="356"/>
      <c r="E201" s="356"/>
      <c r="F201" s="356"/>
      <c r="G201" s="357"/>
    </row>
    <row r="202" spans="1:13" x14ac:dyDescent="0.2">
      <c r="C202" s="74"/>
      <c r="D202" s="75"/>
      <c r="E202" s="75"/>
      <c r="F202" s="75"/>
      <c r="G202" s="76"/>
    </row>
    <row r="203" spans="1:13" x14ac:dyDescent="0.2">
      <c r="C203" s="355" t="s">
        <v>18</v>
      </c>
      <c r="D203" s="356"/>
      <c r="E203" s="356"/>
      <c r="F203" s="356"/>
      <c r="G203" s="357"/>
    </row>
    <row r="204" spans="1:13" x14ac:dyDescent="0.2">
      <c r="A204" s="358" t="s">
        <v>24</v>
      </c>
      <c r="B204" s="359"/>
      <c r="C204" s="23"/>
      <c r="D204" s="23"/>
      <c r="E204" s="23"/>
      <c r="F204" s="23"/>
      <c r="G204" s="23"/>
    </row>
    <row r="205" spans="1:13" x14ac:dyDescent="0.2">
      <c r="A205" s="258" t="s">
        <v>27</v>
      </c>
      <c r="B205" s="259" t="s">
        <v>302</v>
      </c>
      <c r="C205" s="355" t="s">
        <v>26</v>
      </c>
      <c r="D205" s="356"/>
      <c r="E205" s="356"/>
      <c r="F205" s="356"/>
      <c r="G205" s="357"/>
    </row>
    <row r="206" spans="1:13" x14ac:dyDescent="0.2">
      <c r="A206" s="24" t="s">
        <v>21</v>
      </c>
      <c r="B206" s="349">
        <f>C14*1.2</f>
        <v>14.399999999999999</v>
      </c>
      <c r="C206" s="347">
        <f t="shared" ref="C206:G210" si="10">((C$211*$B206)+$E$15)-$E$195</f>
        <v>1.0590038461537006</v>
      </c>
      <c r="D206" s="347">
        <f t="shared" si="10"/>
        <v>87.459003846153678</v>
      </c>
      <c r="E206" s="347">
        <f t="shared" si="10"/>
        <v>173.85900384615366</v>
      </c>
      <c r="F206" s="347">
        <f t="shared" si="10"/>
        <v>260.25900384615363</v>
      </c>
      <c r="G206" s="347">
        <f t="shared" si="10"/>
        <v>346.65900384615372</v>
      </c>
    </row>
    <row r="207" spans="1:13" x14ac:dyDescent="0.2">
      <c r="A207" s="24" t="s">
        <v>20</v>
      </c>
      <c r="B207" s="349">
        <f>C14*1.1</f>
        <v>13.200000000000001</v>
      </c>
      <c r="C207" s="347">
        <f t="shared" si="10"/>
        <v>-56.540996153846208</v>
      </c>
      <c r="D207" s="347">
        <f t="shared" si="10"/>
        <v>22.659003846153837</v>
      </c>
      <c r="E207" s="347">
        <f t="shared" si="10"/>
        <v>101.85900384615388</v>
      </c>
      <c r="F207" s="347">
        <f t="shared" si="10"/>
        <v>181.05900384615381</v>
      </c>
      <c r="G207" s="347">
        <f t="shared" si="10"/>
        <v>260.25900384615386</v>
      </c>
    </row>
    <row r="208" spans="1:13" x14ac:dyDescent="0.2">
      <c r="A208" s="22"/>
      <c r="B208" s="349">
        <f>C14</f>
        <v>12</v>
      </c>
      <c r="C208" s="347">
        <f t="shared" si="10"/>
        <v>-114.14099615384623</v>
      </c>
      <c r="D208" s="347">
        <f t="shared" si="10"/>
        <v>-42.140996153846231</v>
      </c>
      <c r="E208" s="348">
        <f t="shared" si="10"/>
        <v>29.859003846153769</v>
      </c>
      <c r="F208" s="347">
        <f t="shared" si="10"/>
        <v>101.85900384615377</v>
      </c>
      <c r="G208" s="347">
        <f t="shared" si="10"/>
        <v>173.85900384615377</v>
      </c>
    </row>
    <row r="209" spans="1:7" x14ac:dyDescent="0.2">
      <c r="A209" s="24" t="s">
        <v>22</v>
      </c>
      <c r="B209" s="349">
        <f>C14*0.9</f>
        <v>10.8</v>
      </c>
      <c r="C209" s="347">
        <f t="shared" si="10"/>
        <v>-171.74099615384614</v>
      </c>
      <c r="D209" s="347">
        <f t="shared" si="10"/>
        <v>-106.94099615384619</v>
      </c>
      <c r="E209" s="347">
        <f t="shared" si="10"/>
        <v>-42.140996153846231</v>
      </c>
      <c r="F209" s="347">
        <f t="shared" si="10"/>
        <v>22.659003846153837</v>
      </c>
      <c r="G209" s="347">
        <f t="shared" si="10"/>
        <v>87.459003846153792</v>
      </c>
    </row>
    <row r="210" spans="1:7" x14ac:dyDescent="0.2">
      <c r="A210" s="24" t="s">
        <v>23</v>
      </c>
      <c r="B210" s="349">
        <f>C14*0.8</f>
        <v>9.6000000000000014</v>
      </c>
      <c r="C210" s="347">
        <f t="shared" si="10"/>
        <v>-229.34099615384616</v>
      </c>
      <c r="D210" s="347">
        <f t="shared" si="10"/>
        <v>-171.74099615384614</v>
      </c>
      <c r="E210" s="347">
        <f t="shared" si="10"/>
        <v>-114.14099615384612</v>
      </c>
      <c r="F210" s="347">
        <f t="shared" si="10"/>
        <v>-56.540996153846095</v>
      </c>
      <c r="G210" s="347">
        <f t="shared" si="10"/>
        <v>1.0590038461538143</v>
      </c>
    </row>
    <row r="211" spans="1:7" x14ac:dyDescent="0.2">
      <c r="A211" s="257" t="s">
        <v>414</v>
      </c>
      <c r="B211" s="253"/>
      <c r="C211" s="254">
        <f>D14*0.8</f>
        <v>48</v>
      </c>
      <c r="D211" s="254">
        <f>D14*0.9</f>
        <v>54</v>
      </c>
      <c r="E211" s="254">
        <f>D14</f>
        <v>60</v>
      </c>
      <c r="F211" s="254">
        <f>D14*1.1</f>
        <v>66</v>
      </c>
      <c r="G211" s="254">
        <f>D14*1.2</f>
        <v>72</v>
      </c>
    </row>
    <row r="212" spans="1:7" x14ac:dyDescent="0.2">
      <c r="A212" s="257" t="s">
        <v>19</v>
      </c>
      <c r="B212" s="253"/>
      <c r="C212" s="255" t="s">
        <v>23</v>
      </c>
      <c r="D212" s="255" t="s">
        <v>22</v>
      </c>
      <c r="E212" s="256"/>
      <c r="F212" s="255" t="s">
        <v>20</v>
      </c>
      <c r="G212" s="255" t="s">
        <v>21</v>
      </c>
    </row>
  </sheetData>
  <sheetProtection algorithmName="SHA-512" hashValue="c/JuuczU0YBqf7zDB555f0L2T2tDcGn+CiJjDgw1Q/itBp6P9nMw4qIWznHWQAzMCGXcS+7LtvO/dazmxliKng==" saltValue="xYAHNB3Ebn83i4JC0StKYw==" spinCount="100000" sheet="1" objects="1" scenarios="1"/>
  <mergeCells count="4">
    <mergeCell ref="C201:G201"/>
    <mergeCell ref="C203:G203"/>
    <mergeCell ref="A204:B204"/>
    <mergeCell ref="C205:G205"/>
  </mergeCells>
  <hyperlinks>
    <hyperlink ref="H134" r:id="rId1" xr:uid="{00000000-0004-0000-0E00-000000000000}"/>
    <hyperlink ref="H141" r:id="rId2" xr:uid="{00000000-0004-0000-0E00-000001000000}"/>
    <hyperlink ref="H135" r:id="rId3" xr:uid="{00000000-0004-0000-0E00-000002000000}"/>
    <hyperlink ref="H138" r:id="rId4" xr:uid="{00000000-0004-0000-0E00-000003000000}"/>
  </hyperlinks>
  <pageMargins left="0.7" right="0.7" top="0.75" bottom="0.75" header="0.3" footer="0.3"/>
  <pageSetup scale="40" fitToHeight="0" orientation="portrait" verticalDpi="0" r:id="rId5"/>
  <drawing r:id="rId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S212"/>
  <sheetViews>
    <sheetView zoomScale="93" zoomScaleNormal="93" workbookViewId="0">
      <selection activeCell="E14" sqref="E14"/>
    </sheetView>
  </sheetViews>
  <sheetFormatPr defaultColWidth="8.42578125" defaultRowHeight="12.75" x14ac:dyDescent="0.2"/>
  <cols>
    <col min="1" max="1" width="26.7109375" customWidth="1"/>
    <col min="2" max="2" width="17.85546875" customWidth="1"/>
    <col min="3" max="3" width="17.42578125" customWidth="1"/>
    <col min="4" max="4" width="15.140625" customWidth="1"/>
    <col min="5" max="5" width="11.28515625" customWidth="1"/>
    <col min="6" max="6" width="11.85546875" customWidth="1"/>
    <col min="7" max="7" width="13.42578125" customWidth="1"/>
    <col min="8" max="9" width="7.42578125" customWidth="1"/>
    <col min="10" max="10" width="8.42578125" customWidth="1"/>
    <col min="11" max="11" width="8" customWidth="1"/>
    <col min="12" max="12" width="13.7109375" customWidth="1"/>
  </cols>
  <sheetData>
    <row r="1" spans="1:14" ht="15.75" customHeight="1" x14ac:dyDescent="0.2">
      <c r="A1" s="20" t="s">
        <v>29</v>
      </c>
      <c r="E1" s="36"/>
    </row>
    <row r="2" spans="1:14" ht="8.25" customHeight="1" x14ac:dyDescent="0.2"/>
    <row r="3" spans="1:14" ht="15" customHeight="1" x14ac:dyDescent="0.2"/>
    <row r="4" spans="1:14" ht="8.25" customHeight="1" x14ac:dyDescent="0.2"/>
    <row r="5" spans="1:14" ht="18.75" customHeight="1" x14ac:dyDescent="0.25">
      <c r="A5" s="2" t="s">
        <v>342</v>
      </c>
      <c r="D5" s="19"/>
      <c r="E5" s="197"/>
    </row>
    <row r="6" spans="1:14" ht="5.25" customHeight="1" x14ac:dyDescent="0.2"/>
    <row r="7" spans="1:14" x14ac:dyDescent="0.2">
      <c r="A7" s="17" t="s">
        <v>83</v>
      </c>
      <c r="E7" s="67"/>
      <c r="I7" s="38"/>
    </row>
    <row r="8" spans="1:14" x14ac:dyDescent="0.2">
      <c r="A8" s="17" t="s">
        <v>228</v>
      </c>
      <c r="E8" s="242"/>
    </row>
    <row r="9" spans="1:14" x14ac:dyDescent="0.2">
      <c r="A9" s="17" t="s">
        <v>71</v>
      </c>
      <c r="E9" s="79"/>
    </row>
    <row r="10" spans="1:14" x14ac:dyDescent="0.2">
      <c r="A10" s="17"/>
      <c r="E10" s="3"/>
    </row>
    <row r="11" spans="1:14" ht="18" x14ac:dyDescent="0.25">
      <c r="A11" s="2" t="s">
        <v>343</v>
      </c>
      <c r="B11" s="345" t="s">
        <v>426</v>
      </c>
      <c r="C11" s="329"/>
    </row>
    <row r="12" spans="1:14" x14ac:dyDescent="0.2">
      <c r="A12" s="119" t="s">
        <v>37</v>
      </c>
      <c r="B12" s="117"/>
      <c r="C12" s="118"/>
      <c r="D12" s="117"/>
      <c r="E12" s="117"/>
      <c r="F12" s="92"/>
    </row>
    <row r="13" spans="1:14" x14ac:dyDescent="0.2">
      <c r="A13" s="17"/>
      <c r="B13" s="7" t="s">
        <v>306</v>
      </c>
      <c r="C13" s="54" t="s">
        <v>307</v>
      </c>
      <c r="D13" s="7" t="s">
        <v>239</v>
      </c>
      <c r="E13" s="7" t="s">
        <v>236</v>
      </c>
      <c r="H13" s="17" t="s">
        <v>170</v>
      </c>
      <c r="I13" s="17"/>
      <c r="J13" s="17"/>
      <c r="K13" s="17"/>
    </row>
    <row r="14" spans="1:14" x14ac:dyDescent="0.2">
      <c r="A14" s="20" t="s">
        <v>216</v>
      </c>
      <c r="B14" s="275">
        <v>0.65</v>
      </c>
      <c r="C14" s="167">
        <v>4.5</v>
      </c>
      <c r="D14" s="124">
        <v>60</v>
      </c>
      <c r="E14" s="241">
        <f>C14*D14</f>
        <v>270</v>
      </c>
      <c r="H14" s="20" t="s">
        <v>186</v>
      </c>
      <c r="L14" s="124">
        <v>165</v>
      </c>
      <c r="N14" s="20" t="s">
        <v>187</v>
      </c>
    </row>
    <row r="15" spans="1:14" x14ac:dyDescent="0.2">
      <c r="A15" s="20" t="s">
        <v>217</v>
      </c>
      <c r="B15" s="275">
        <v>0</v>
      </c>
      <c r="C15" s="167">
        <v>0</v>
      </c>
      <c r="D15" s="124">
        <v>0</v>
      </c>
      <c r="E15" s="241">
        <f>C15*D15</f>
        <v>0</v>
      </c>
      <c r="H15" s="20" t="s">
        <v>184</v>
      </c>
      <c r="L15" s="330">
        <v>0.5</v>
      </c>
    </row>
    <row r="16" spans="1:14" x14ac:dyDescent="0.2">
      <c r="A16" s="20" t="s">
        <v>214</v>
      </c>
      <c r="C16" s="299">
        <f>C14*(1-B14)</f>
        <v>1.575</v>
      </c>
      <c r="E16" s="232"/>
      <c r="H16" s="20" t="s">
        <v>185</v>
      </c>
      <c r="L16" s="241">
        <f>(L14/0.87)*(1-L15)</f>
        <v>94.827586206896555</v>
      </c>
    </row>
    <row r="17" spans="1:18" x14ac:dyDescent="0.2">
      <c r="A17" s="20" t="s">
        <v>215</v>
      </c>
      <c r="C17" s="299">
        <f>C15*(1-B15)</f>
        <v>0</v>
      </c>
      <c r="E17" s="232"/>
      <c r="H17" s="20"/>
      <c r="L17" s="233"/>
    </row>
    <row r="18" spans="1:18" x14ac:dyDescent="0.2">
      <c r="A18" s="152" t="s">
        <v>199</v>
      </c>
      <c r="B18" s="159"/>
      <c r="C18" s="157"/>
      <c r="D18" s="159"/>
      <c r="E18" s="243">
        <f>SUM(E14:E15)</f>
        <v>270</v>
      </c>
    </row>
    <row r="19" spans="1:18" x14ac:dyDescent="0.2">
      <c r="A19" s="119" t="s">
        <v>40</v>
      </c>
      <c r="B19" s="120"/>
      <c r="C19" s="121"/>
      <c r="D19" s="120"/>
      <c r="E19" s="120"/>
      <c r="F19" s="122"/>
    </row>
    <row r="20" spans="1:18" ht="12" customHeight="1" x14ac:dyDescent="0.2">
      <c r="A20" s="17"/>
      <c r="B20" s="4"/>
      <c r="C20" s="3"/>
      <c r="D20" s="4"/>
      <c r="E20" s="4"/>
    </row>
    <row r="21" spans="1:18" x14ac:dyDescent="0.2">
      <c r="A21" s="111" t="s">
        <v>4</v>
      </c>
      <c r="B21" s="92"/>
      <c r="C21" s="112"/>
      <c r="D21" s="112"/>
      <c r="E21" s="112"/>
      <c r="F21" s="92"/>
    </row>
    <row r="22" spans="1:18" ht="15" customHeight="1" x14ac:dyDescent="0.2">
      <c r="A22" s="98" t="s">
        <v>88</v>
      </c>
      <c r="B22" s="99"/>
      <c r="C22" s="100"/>
      <c r="D22" s="100"/>
      <c r="E22" s="100"/>
      <c r="F22" s="97"/>
      <c r="H22" s="17"/>
      <c r="J22" s="17"/>
      <c r="M22" s="20"/>
    </row>
    <row r="23" spans="1:18" x14ac:dyDescent="0.2">
      <c r="A23" s="33"/>
      <c r="B23" s="7" t="s">
        <v>237</v>
      </c>
      <c r="C23" s="7" t="s">
        <v>238</v>
      </c>
      <c r="D23" s="7" t="s">
        <v>239</v>
      </c>
      <c r="E23" s="7" t="s">
        <v>240</v>
      </c>
      <c r="G23" s="65"/>
      <c r="H23" s="17"/>
      <c r="J23" s="17"/>
      <c r="K23" s="17"/>
      <c r="M23" s="20"/>
    </row>
    <row r="24" spans="1:18" x14ac:dyDescent="0.2">
      <c r="A24" s="39" t="s">
        <v>303</v>
      </c>
      <c r="B24" s="207"/>
      <c r="C24" s="78">
        <v>0</v>
      </c>
      <c r="D24" s="90">
        <v>0</v>
      </c>
      <c r="E24" s="244">
        <f>((D24/2000)*B24*C24)</f>
        <v>0</v>
      </c>
      <c r="G24" s="48"/>
      <c r="H24" s="6"/>
      <c r="I24" s="48"/>
      <c r="J24" s="6"/>
      <c r="O24" s="20"/>
      <c r="P24" s="20"/>
      <c r="Q24" s="20"/>
      <c r="R24" s="20"/>
    </row>
    <row r="25" spans="1:18" x14ac:dyDescent="0.2">
      <c r="A25" s="39"/>
      <c r="B25" s="40"/>
      <c r="C25" s="47"/>
      <c r="D25" s="10"/>
      <c r="E25" s="46"/>
      <c r="G25" s="48"/>
      <c r="H25" s="6"/>
      <c r="I25" s="48"/>
      <c r="J25" s="6"/>
      <c r="O25" s="20"/>
      <c r="P25" s="20"/>
      <c r="Q25" s="20"/>
      <c r="R25" s="20"/>
    </row>
    <row r="26" spans="1:18" x14ac:dyDescent="0.2">
      <c r="A26" s="33"/>
      <c r="C26" s="7" t="s">
        <v>87</v>
      </c>
      <c r="D26" s="7" t="s">
        <v>239</v>
      </c>
      <c r="E26" s="7" t="s">
        <v>240</v>
      </c>
      <c r="G26" s="65"/>
      <c r="H26" s="17"/>
      <c r="J26" s="17"/>
      <c r="K26" s="17"/>
      <c r="M26" s="20"/>
    </row>
    <row r="27" spans="1:18" x14ac:dyDescent="0.2">
      <c r="A27" s="208" t="s">
        <v>171</v>
      </c>
      <c r="B27" s="4"/>
      <c r="C27" s="68">
        <v>50</v>
      </c>
      <c r="D27" s="90">
        <v>520</v>
      </c>
      <c r="E27" s="245">
        <f>C27*(D27/2000)</f>
        <v>13</v>
      </c>
      <c r="G27" s="5"/>
      <c r="H27" s="1"/>
      <c r="J27" s="56"/>
    </row>
    <row r="28" spans="1:18" x14ac:dyDescent="0.2">
      <c r="A28" s="208" t="s">
        <v>66</v>
      </c>
      <c r="B28" s="4"/>
      <c r="C28" s="77"/>
      <c r="D28" s="90">
        <v>0</v>
      </c>
      <c r="E28" s="246">
        <f>C28*(D28/2000)</f>
        <v>0</v>
      </c>
      <c r="G28" s="5"/>
      <c r="H28" s="1"/>
      <c r="J28" s="56"/>
    </row>
    <row r="29" spans="1:18" x14ac:dyDescent="0.2">
      <c r="A29" s="209" t="s">
        <v>66</v>
      </c>
      <c r="B29" s="4"/>
      <c r="C29" s="77"/>
      <c r="D29" s="193"/>
      <c r="E29" s="246">
        <f>C29*(D29/2000)</f>
        <v>0</v>
      </c>
      <c r="G29" s="5"/>
      <c r="H29" s="1"/>
      <c r="J29" s="56"/>
    </row>
    <row r="30" spans="1:18" x14ac:dyDescent="0.2">
      <c r="A30" s="208"/>
      <c r="B30" s="4"/>
      <c r="C30" s="68"/>
      <c r="D30" s="90"/>
      <c r="E30" s="245">
        <f>C30*(D30/2000)</f>
        <v>0</v>
      </c>
      <c r="G30" s="5"/>
      <c r="H30" s="1"/>
      <c r="J30" s="56"/>
    </row>
    <row r="31" spans="1:18" x14ac:dyDescent="0.2">
      <c r="A31" s="94"/>
      <c r="B31" s="4"/>
      <c r="C31" s="42"/>
      <c r="D31" s="93"/>
      <c r="E31" s="93"/>
      <c r="G31" s="5"/>
      <c r="H31" s="1"/>
      <c r="J31" s="56"/>
    </row>
    <row r="32" spans="1:18" ht="14.25" customHeight="1" x14ac:dyDescent="0.2">
      <c r="A32" s="95" t="s">
        <v>135</v>
      </c>
      <c r="B32" s="96"/>
      <c r="C32" s="160"/>
      <c r="D32" s="161"/>
      <c r="E32" s="161"/>
      <c r="F32" s="97"/>
    </row>
    <row r="33" spans="1:12" ht="14.25" customHeight="1" x14ac:dyDescent="0.2">
      <c r="A33" s="48" t="s">
        <v>304</v>
      </c>
      <c r="C33" s="219" t="s">
        <v>68</v>
      </c>
      <c r="D33" s="7" t="s">
        <v>69</v>
      </c>
      <c r="E33" s="7" t="s">
        <v>240</v>
      </c>
    </row>
    <row r="34" spans="1:12" ht="14.25" customHeight="1" x14ac:dyDescent="0.2">
      <c r="A34" s="201" t="s">
        <v>14</v>
      </c>
      <c r="B34" s="40"/>
      <c r="C34" s="68">
        <v>40</v>
      </c>
      <c r="D34" s="90">
        <v>0.6</v>
      </c>
      <c r="E34" s="245">
        <f>C34*D34</f>
        <v>24</v>
      </c>
    </row>
    <row r="35" spans="1:12" ht="14.25" customHeight="1" x14ac:dyDescent="0.2">
      <c r="A35" s="220" t="s">
        <v>15</v>
      </c>
      <c r="B35" s="4"/>
      <c r="C35" s="68"/>
      <c r="D35" s="90"/>
      <c r="E35" s="245">
        <f t="shared" ref="E35:E37" si="0">C35*D35</f>
        <v>0</v>
      </c>
    </row>
    <row r="36" spans="1:12" ht="13.5" customHeight="1" x14ac:dyDescent="0.2">
      <c r="A36" s="220" t="s">
        <v>16</v>
      </c>
      <c r="B36" s="4"/>
      <c r="C36" s="68"/>
      <c r="D36" s="90"/>
      <c r="E36" s="245">
        <f t="shared" si="0"/>
        <v>0</v>
      </c>
      <c r="G36" s="72"/>
      <c r="H36" s="16"/>
      <c r="I36" s="16"/>
      <c r="J36" s="7"/>
      <c r="K36" s="17"/>
      <c r="L36" s="17"/>
    </row>
    <row r="37" spans="1:12" ht="14.25" customHeight="1" x14ac:dyDescent="0.2">
      <c r="A37" s="221" t="s">
        <v>17</v>
      </c>
      <c r="B37" s="4"/>
      <c r="C37" s="68"/>
      <c r="D37" s="90"/>
      <c r="E37" s="246">
        <f t="shared" si="0"/>
        <v>0</v>
      </c>
      <c r="G37" s="5"/>
      <c r="H37" s="6"/>
      <c r="I37" s="6"/>
      <c r="J37" s="6"/>
      <c r="K37" s="6"/>
    </row>
    <row r="38" spans="1:12" ht="14.25" customHeight="1" x14ac:dyDescent="0.2">
      <c r="A38" s="199" t="s">
        <v>86</v>
      </c>
      <c r="B38" s="4"/>
      <c r="C38" s="42"/>
      <c r="D38" s="93"/>
      <c r="E38" s="210">
        <v>0</v>
      </c>
      <c r="G38" s="5"/>
      <c r="H38" s="6"/>
      <c r="I38" s="6"/>
      <c r="J38" s="6"/>
      <c r="K38" s="6"/>
    </row>
    <row r="39" spans="1:12" ht="14.25" customHeight="1" x14ac:dyDescent="0.2">
      <c r="A39" s="82" t="s">
        <v>136</v>
      </c>
      <c r="B39" s="81"/>
      <c r="C39" s="42"/>
      <c r="D39" s="93"/>
      <c r="E39" s="90">
        <v>0</v>
      </c>
      <c r="G39" s="5"/>
      <c r="H39" s="6"/>
      <c r="I39" s="6"/>
      <c r="J39" s="6"/>
      <c r="K39" s="6"/>
    </row>
    <row r="40" spans="1:12" ht="14.25" x14ac:dyDescent="0.25">
      <c r="A40" s="32"/>
      <c r="B40" s="4"/>
      <c r="C40" s="7" t="s">
        <v>193</v>
      </c>
      <c r="D40" s="223" t="s">
        <v>265</v>
      </c>
      <c r="E40" s="46"/>
      <c r="G40" s="65"/>
      <c r="I40" s="6"/>
    </row>
    <row r="41" spans="1:12" x14ac:dyDescent="0.2">
      <c r="A41" s="94" t="s">
        <v>192</v>
      </c>
      <c r="C41" s="68">
        <v>15</v>
      </c>
      <c r="D41" s="210">
        <v>0.81</v>
      </c>
      <c r="E41" s="247">
        <f t="shared" ref="E41" si="1">C41*D41</f>
        <v>12.15</v>
      </c>
      <c r="G41" s="48"/>
      <c r="H41" s="6"/>
    </row>
    <row r="42" spans="1:12" ht="14.25" customHeight="1" x14ac:dyDescent="0.25">
      <c r="A42" s="39"/>
      <c r="B42" s="4"/>
      <c r="C42" s="7" t="s">
        <v>194</v>
      </c>
      <c r="D42" s="223" t="s">
        <v>264</v>
      </c>
      <c r="E42" s="46"/>
      <c r="G42" s="5"/>
      <c r="H42" s="6"/>
      <c r="K42" s="17"/>
    </row>
    <row r="43" spans="1:12" ht="14.25" customHeight="1" x14ac:dyDescent="0.2">
      <c r="A43" s="222" t="s">
        <v>13</v>
      </c>
      <c r="C43" s="68">
        <v>60</v>
      </c>
      <c r="D43" s="90">
        <v>0.43</v>
      </c>
      <c r="E43" s="245">
        <f>C43*D43</f>
        <v>25.8</v>
      </c>
      <c r="G43" s="72"/>
      <c r="H43" s="16"/>
      <c r="I43" s="73"/>
      <c r="J43" s="73"/>
      <c r="K43" s="7"/>
      <c r="L43" s="7"/>
    </row>
    <row r="44" spans="1:12" ht="14.25" customHeight="1" x14ac:dyDescent="0.2">
      <c r="C44" s="12"/>
      <c r="G44" s="5"/>
      <c r="H44" s="1"/>
      <c r="I44" s="1"/>
      <c r="J44" s="1"/>
      <c r="K44" s="1"/>
      <c r="L44" s="1"/>
    </row>
    <row r="45" spans="1:12" ht="14.25" customHeight="1" x14ac:dyDescent="0.2">
      <c r="A45" s="199" t="s">
        <v>133</v>
      </c>
      <c r="B45" s="4"/>
      <c r="C45" s="9"/>
      <c r="D45" s="10"/>
      <c r="E45" s="90">
        <v>0</v>
      </c>
      <c r="G45" s="5"/>
      <c r="H45" s="6"/>
      <c r="I45" s="6"/>
      <c r="J45" s="6"/>
      <c r="K45" s="6"/>
      <c r="L45" s="6"/>
    </row>
    <row r="46" spans="1:12" ht="14.25" customHeight="1" x14ac:dyDescent="0.2">
      <c r="A46" s="166"/>
      <c r="B46" s="4"/>
      <c r="C46" s="9"/>
      <c r="D46" s="10"/>
      <c r="E46" s="102"/>
      <c r="G46" s="5"/>
      <c r="H46" s="6"/>
      <c r="I46" s="6"/>
      <c r="J46" s="6"/>
      <c r="K46" s="6"/>
      <c r="L46" s="6"/>
    </row>
    <row r="47" spans="1:12" ht="14.25" customHeight="1" x14ac:dyDescent="0.2">
      <c r="A47" s="199" t="s">
        <v>7</v>
      </c>
      <c r="B47" s="4"/>
      <c r="C47" s="9"/>
      <c r="D47" s="10"/>
      <c r="E47" s="90">
        <v>0</v>
      </c>
      <c r="G47" s="5"/>
      <c r="H47" s="6"/>
      <c r="I47" s="6"/>
      <c r="J47" s="6"/>
      <c r="K47" s="6"/>
      <c r="L47" s="6"/>
    </row>
    <row r="48" spans="1:12" ht="14.25" customHeight="1" x14ac:dyDescent="0.2">
      <c r="A48" s="199"/>
      <c r="B48" s="4"/>
      <c r="C48" s="9"/>
      <c r="D48" s="10"/>
      <c r="E48" s="90">
        <v>0</v>
      </c>
      <c r="G48" s="5"/>
      <c r="H48" s="6"/>
      <c r="I48" s="6"/>
      <c r="J48" s="6"/>
      <c r="K48" s="6"/>
      <c r="L48" s="6"/>
    </row>
    <row r="49" spans="1:12" ht="14.25" customHeight="1" x14ac:dyDescent="0.2">
      <c r="A49" s="199"/>
      <c r="B49" s="4"/>
      <c r="C49" s="9"/>
      <c r="D49" s="10"/>
      <c r="E49" s="90">
        <v>0</v>
      </c>
      <c r="G49" s="5"/>
      <c r="H49" s="6"/>
      <c r="I49" s="6"/>
      <c r="J49" s="6"/>
      <c r="K49" s="6"/>
      <c r="L49" s="6"/>
    </row>
    <row r="50" spans="1:12" ht="14.25" customHeight="1" x14ac:dyDescent="0.2">
      <c r="A50" s="33" t="s">
        <v>247</v>
      </c>
      <c r="B50" s="101"/>
      <c r="C50" s="219" t="s">
        <v>72</v>
      </c>
      <c r="D50" s="54" t="s">
        <v>255</v>
      </c>
      <c r="E50" s="10"/>
      <c r="G50" s="5"/>
      <c r="H50" s="6"/>
      <c r="I50" s="6"/>
      <c r="J50" s="6"/>
      <c r="K50" s="6"/>
      <c r="L50" s="6"/>
    </row>
    <row r="51" spans="1:12" ht="14.25" customHeight="1" x14ac:dyDescent="0.2">
      <c r="A51" s="199" t="s">
        <v>89</v>
      </c>
      <c r="B51" s="4"/>
      <c r="C51" s="68">
        <v>1</v>
      </c>
      <c r="D51" s="90">
        <v>9</v>
      </c>
      <c r="E51" s="245">
        <f>D51*C51</f>
        <v>9</v>
      </c>
      <c r="G51" s="5"/>
      <c r="H51" s="6"/>
      <c r="I51" s="6"/>
      <c r="J51" s="6"/>
      <c r="K51" s="6"/>
      <c r="L51" s="6"/>
    </row>
    <row r="52" spans="1:12" ht="14.25" customHeight="1" x14ac:dyDescent="0.2">
      <c r="A52" s="199"/>
      <c r="B52" s="4"/>
      <c r="C52" s="68"/>
      <c r="D52" s="90"/>
      <c r="E52" s="245">
        <f t="shared" ref="E52:E53" si="2">D52*C52</f>
        <v>0</v>
      </c>
      <c r="G52" s="5"/>
      <c r="H52" s="6"/>
      <c r="I52" s="6"/>
      <c r="J52" s="6"/>
      <c r="K52" s="6"/>
      <c r="L52" s="6"/>
    </row>
    <row r="53" spans="1:12" ht="14.25" customHeight="1" x14ac:dyDescent="0.2">
      <c r="A53" s="199"/>
      <c r="B53" s="4"/>
      <c r="C53" s="68"/>
      <c r="D53" s="90"/>
      <c r="E53" s="245">
        <f t="shared" si="2"/>
        <v>0</v>
      </c>
      <c r="G53" s="5"/>
      <c r="H53" s="6"/>
      <c r="I53" s="6"/>
      <c r="J53" s="6"/>
      <c r="K53" s="6"/>
      <c r="L53" s="6"/>
    </row>
    <row r="54" spans="1:12" ht="14.25" customHeight="1" x14ac:dyDescent="0.2">
      <c r="A54" s="33"/>
      <c r="B54" s="4"/>
      <c r="C54" s="9"/>
      <c r="D54" s="10"/>
      <c r="E54" s="10"/>
      <c r="G54" s="5"/>
      <c r="H54" s="6"/>
      <c r="I54" s="6"/>
      <c r="J54" s="6"/>
      <c r="K54" s="6"/>
      <c r="L54" s="6"/>
    </row>
    <row r="55" spans="1:12" x14ac:dyDescent="0.2">
      <c r="B55" s="7" t="s">
        <v>262</v>
      </c>
      <c r="C55" s="7" t="s">
        <v>263</v>
      </c>
      <c r="D55" s="54" t="s">
        <v>239</v>
      </c>
      <c r="E55" s="7" t="s">
        <v>240</v>
      </c>
    </row>
    <row r="56" spans="1:12" x14ac:dyDescent="0.2">
      <c r="A56" s="4" t="s">
        <v>80</v>
      </c>
      <c r="B56" s="211">
        <v>3</v>
      </c>
      <c r="C56" s="69">
        <v>0</v>
      </c>
      <c r="D56" s="124">
        <v>29</v>
      </c>
      <c r="E56" s="245">
        <f>(D56*C56)/B56</f>
        <v>0</v>
      </c>
      <c r="H56" s="80"/>
    </row>
    <row r="57" spans="1:12" x14ac:dyDescent="0.2">
      <c r="A57" s="15"/>
      <c r="B57" s="40"/>
      <c r="C57" s="125"/>
      <c r="D57" s="224" t="s">
        <v>240</v>
      </c>
      <c r="E57" s="102"/>
      <c r="H57" s="80"/>
    </row>
    <row r="58" spans="1:12" x14ac:dyDescent="0.2">
      <c r="A58" s="33" t="s">
        <v>98</v>
      </c>
      <c r="B58" s="4"/>
      <c r="C58" s="123"/>
      <c r="D58" s="124">
        <v>0</v>
      </c>
      <c r="E58" s="245">
        <f>D58/B56</f>
        <v>0</v>
      </c>
      <c r="H58" s="80"/>
    </row>
    <row r="59" spans="1:12" x14ac:dyDescent="0.2">
      <c r="A59" s="15"/>
      <c r="B59" s="84"/>
      <c r="C59" s="20"/>
      <c r="D59" s="1"/>
      <c r="E59" s="6"/>
      <c r="H59" s="80"/>
    </row>
    <row r="60" spans="1:12" x14ac:dyDescent="0.2">
      <c r="A60" s="152" t="s">
        <v>197</v>
      </c>
      <c r="B60" s="159"/>
      <c r="C60" s="159"/>
      <c r="D60" s="159"/>
      <c r="E60" s="243">
        <f>SUM(E24:E59)</f>
        <v>83.95</v>
      </c>
      <c r="G60" s="33"/>
      <c r="H60" s="33"/>
    </row>
    <row r="61" spans="1:12" x14ac:dyDescent="0.2">
      <c r="A61" s="111" t="s">
        <v>94</v>
      </c>
      <c r="B61" s="92"/>
      <c r="C61" s="92"/>
      <c r="D61" s="92"/>
      <c r="E61" s="92"/>
      <c r="F61" s="92"/>
      <c r="G61" s="33"/>
      <c r="H61" s="33"/>
    </row>
    <row r="62" spans="1:12" x14ac:dyDescent="0.2">
      <c r="A62" s="20"/>
      <c r="B62" s="1"/>
      <c r="G62" s="33"/>
      <c r="H62" s="33"/>
    </row>
    <row r="63" spans="1:12" x14ac:dyDescent="0.2">
      <c r="A63" s="18"/>
      <c r="B63" s="4"/>
      <c r="C63" s="54" t="s">
        <v>313</v>
      </c>
      <c r="D63" s="54" t="s">
        <v>314</v>
      </c>
      <c r="E63" s="7" t="s">
        <v>240</v>
      </c>
      <c r="G63" s="33"/>
      <c r="H63" s="33"/>
    </row>
    <row r="64" spans="1:12" x14ac:dyDescent="0.2">
      <c r="A64" s="199" t="s">
        <v>412</v>
      </c>
      <c r="B64" s="40"/>
      <c r="C64" s="68">
        <v>90</v>
      </c>
      <c r="D64" s="169">
        <v>27.5</v>
      </c>
      <c r="E64" s="245">
        <f>((C64/50)*D64)</f>
        <v>49.5</v>
      </c>
      <c r="G64" s="33"/>
      <c r="H64" s="33"/>
    </row>
    <row r="65" spans="1:8" x14ac:dyDescent="0.2">
      <c r="A65" s="199"/>
      <c r="B65" s="40"/>
      <c r="C65" s="68"/>
      <c r="D65" s="169"/>
      <c r="E65" s="245">
        <f>((C65/50)*D65)</f>
        <v>0</v>
      </c>
      <c r="G65" s="33"/>
      <c r="H65" s="33"/>
    </row>
    <row r="66" spans="1:8" x14ac:dyDescent="0.2">
      <c r="A66" s="199"/>
      <c r="B66" s="40"/>
      <c r="C66" s="68"/>
      <c r="D66" s="169"/>
      <c r="E66" s="245">
        <f>((C66/50)*D66)</f>
        <v>0</v>
      </c>
      <c r="G66" s="33"/>
      <c r="H66" s="33"/>
    </row>
    <row r="67" spans="1:8" x14ac:dyDescent="0.2">
      <c r="A67" s="60"/>
      <c r="B67" s="40"/>
      <c r="C67" s="68"/>
      <c r="D67" s="169"/>
      <c r="E67" s="245">
        <f>((C67/50)*D67)</f>
        <v>0</v>
      </c>
      <c r="G67" s="33"/>
      <c r="H67" s="33"/>
    </row>
    <row r="68" spans="1:8" x14ac:dyDescent="0.2">
      <c r="A68" s="5"/>
      <c r="B68" s="5"/>
      <c r="C68" s="7" t="s">
        <v>298</v>
      </c>
      <c r="D68" s="54" t="s">
        <v>235</v>
      </c>
      <c r="E68" s="7" t="s">
        <v>240</v>
      </c>
    </row>
    <row r="69" spans="1:8" x14ac:dyDescent="0.2">
      <c r="A69" s="48" t="s">
        <v>173</v>
      </c>
      <c r="B69" s="48"/>
      <c r="C69" s="77">
        <v>0</v>
      </c>
      <c r="D69" s="170"/>
      <c r="E69" s="248">
        <f>D69*C69</f>
        <v>0</v>
      </c>
    </row>
    <row r="70" spans="1:8" x14ac:dyDescent="0.2">
      <c r="A70" s="48" t="s">
        <v>81</v>
      </c>
      <c r="B70" s="48"/>
      <c r="C70" s="68"/>
      <c r="D70" s="169"/>
      <c r="E70" s="324">
        <f>D70*C70</f>
        <v>0</v>
      </c>
    </row>
    <row r="71" spans="1:8" x14ac:dyDescent="0.2">
      <c r="A71" s="48"/>
      <c r="B71" s="48"/>
      <c r="C71" s="225" t="s">
        <v>260</v>
      </c>
      <c r="D71" s="234" t="s">
        <v>261</v>
      </c>
      <c r="E71" s="227" t="s">
        <v>240</v>
      </c>
    </row>
    <row r="72" spans="1:8" x14ac:dyDescent="0.2">
      <c r="A72" s="48" t="s">
        <v>81</v>
      </c>
      <c r="B72" s="48"/>
      <c r="C72" s="68"/>
      <c r="D72" s="169"/>
      <c r="E72" s="324">
        <f>D72*C72</f>
        <v>0</v>
      </c>
    </row>
    <row r="73" spans="1:8" x14ac:dyDescent="0.2">
      <c r="A73" s="146" t="s">
        <v>196</v>
      </c>
      <c r="B73" s="153"/>
      <c r="C73" s="158"/>
      <c r="D73" s="157"/>
      <c r="E73" s="249">
        <f>E64+E69+E70+E72</f>
        <v>49.5</v>
      </c>
    </row>
    <row r="74" spans="1:8" x14ac:dyDescent="0.2">
      <c r="A74" s="110" t="s">
        <v>92</v>
      </c>
      <c r="B74" s="106"/>
      <c r="C74" s="107"/>
      <c r="D74" s="108"/>
      <c r="E74" s="145"/>
      <c r="F74" s="92"/>
    </row>
    <row r="75" spans="1:8" x14ac:dyDescent="0.2">
      <c r="A75" s="65" t="s">
        <v>2</v>
      </c>
      <c r="B75" s="4"/>
      <c r="C75" s="162"/>
      <c r="D75" s="83"/>
      <c r="E75" s="8" t="s">
        <v>67</v>
      </c>
      <c r="G75" s="31"/>
      <c r="H75" s="31"/>
    </row>
    <row r="76" spans="1:8" x14ac:dyDescent="0.2">
      <c r="A76" s="33" t="s">
        <v>126</v>
      </c>
      <c r="B76" s="4"/>
      <c r="C76" s="162"/>
      <c r="D76" s="83"/>
      <c r="E76" s="217">
        <v>0</v>
      </c>
      <c r="G76" s="31"/>
      <c r="H76" s="31"/>
    </row>
    <row r="77" spans="1:8" x14ac:dyDescent="0.2">
      <c r="A77" s="40" t="s">
        <v>99</v>
      </c>
      <c r="B77" s="4"/>
      <c r="C77" s="162"/>
      <c r="D77" s="83"/>
      <c r="E77" s="90">
        <v>0</v>
      </c>
      <c r="G77" s="31"/>
      <c r="H77" s="31"/>
    </row>
    <row r="78" spans="1:8" x14ac:dyDescent="0.2">
      <c r="A78" s="33" t="s">
        <v>127</v>
      </c>
      <c r="B78" s="4"/>
      <c r="C78" s="9"/>
      <c r="D78" s="163"/>
      <c r="E78" s="90">
        <v>0</v>
      </c>
      <c r="G78" s="31"/>
      <c r="H78" s="31"/>
    </row>
    <row r="79" spans="1:8" x14ac:dyDescent="0.2">
      <c r="A79" s="40" t="s">
        <v>99</v>
      </c>
      <c r="B79" s="4"/>
      <c r="C79" s="9"/>
      <c r="D79" s="163"/>
      <c r="E79" s="90">
        <v>0</v>
      </c>
      <c r="G79" s="31"/>
      <c r="H79" s="31"/>
    </row>
    <row r="80" spans="1:8" x14ac:dyDescent="0.2">
      <c r="A80" s="33" t="s">
        <v>128</v>
      </c>
      <c r="B80" s="4"/>
      <c r="C80" s="9"/>
      <c r="D80" s="163"/>
      <c r="E80" s="90">
        <v>0</v>
      </c>
      <c r="G80" s="31"/>
      <c r="H80" s="31"/>
    </row>
    <row r="81" spans="1:8" x14ac:dyDescent="0.2">
      <c r="A81" s="40" t="s">
        <v>99</v>
      </c>
      <c r="B81" s="4"/>
      <c r="C81" s="9"/>
      <c r="D81" s="163"/>
      <c r="E81" s="90">
        <v>0</v>
      </c>
      <c r="G81" s="31"/>
      <c r="H81" s="31"/>
    </row>
    <row r="82" spans="1:8" x14ac:dyDescent="0.2">
      <c r="A82" s="143" t="s">
        <v>129</v>
      </c>
      <c r="B82" s="3"/>
      <c r="C82" s="42"/>
      <c r="D82" s="164"/>
      <c r="E82" s="90">
        <v>0</v>
      </c>
      <c r="G82" s="30"/>
      <c r="H82" s="30"/>
    </row>
    <row r="83" spans="1:8" x14ac:dyDescent="0.2">
      <c r="A83" s="143" t="s">
        <v>99</v>
      </c>
      <c r="B83" s="3"/>
      <c r="C83" s="42"/>
      <c r="D83" s="164"/>
      <c r="E83" s="90">
        <v>0</v>
      </c>
      <c r="G83" s="20"/>
      <c r="H83" s="20"/>
    </row>
    <row r="84" spans="1:8" x14ac:dyDescent="0.2">
      <c r="A84" s="65" t="s">
        <v>8</v>
      </c>
      <c r="B84" s="4"/>
      <c r="C84" s="9"/>
      <c r="D84" s="3"/>
      <c r="E84" s="169">
        <v>0</v>
      </c>
    </row>
    <row r="85" spans="1:8" x14ac:dyDescent="0.2">
      <c r="A85" s="40" t="s">
        <v>130</v>
      </c>
      <c r="B85" s="4"/>
      <c r="C85" s="9"/>
      <c r="D85" s="3"/>
      <c r="E85" s="169">
        <v>0</v>
      </c>
    </row>
    <row r="86" spans="1:8" x14ac:dyDescent="0.2">
      <c r="A86" s="40" t="s">
        <v>99</v>
      </c>
      <c r="B86" s="4"/>
      <c r="C86" s="9"/>
      <c r="D86" s="3"/>
      <c r="E86" s="169">
        <v>0</v>
      </c>
    </row>
    <row r="87" spans="1:8" x14ac:dyDescent="0.2">
      <c r="A87" s="37" t="s">
        <v>131</v>
      </c>
      <c r="B87" s="3"/>
      <c r="C87" s="42"/>
      <c r="D87" s="164"/>
      <c r="E87" s="90">
        <v>0</v>
      </c>
    </row>
    <row r="88" spans="1:8" x14ac:dyDescent="0.2">
      <c r="A88" s="37" t="s">
        <v>99</v>
      </c>
      <c r="B88" s="3"/>
      <c r="C88" s="42"/>
      <c r="D88" s="164"/>
      <c r="E88" s="90">
        <v>0</v>
      </c>
    </row>
    <row r="89" spans="1:8" x14ac:dyDescent="0.2">
      <c r="A89" s="37" t="s">
        <v>131</v>
      </c>
      <c r="B89" s="3"/>
      <c r="C89" s="42"/>
      <c r="D89" s="164"/>
      <c r="E89" s="90">
        <v>0</v>
      </c>
    </row>
    <row r="90" spans="1:8" x14ac:dyDescent="0.2">
      <c r="A90" s="37" t="s">
        <v>99</v>
      </c>
      <c r="B90" s="3"/>
      <c r="C90" s="42"/>
      <c r="D90" s="164"/>
      <c r="E90" s="90">
        <v>0</v>
      </c>
    </row>
    <row r="91" spans="1:8" x14ac:dyDescent="0.2">
      <c r="A91" s="65" t="s">
        <v>12</v>
      </c>
      <c r="B91" s="4"/>
      <c r="C91" s="9"/>
      <c r="D91" s="3"/>
      <c r="E91" s="169">
        <v>0</v>
      </c>
    </row>
    <row r="92" spans="1:8" ht="13.5" customHeight="1" x14ac:dyDescent="0.2">
      <c r="A92" s="37" t="s">
        <v>175</v>
      </c>
      <c r="B92" s="3"/>
      <c r="C92" s="42"/>
      <c r="D92" s="164"/>
      <c r="E92" s="90">
        <v>0</v>
      </c>
      <c r="H92" s="20"/>
    </row>
    <row r="93" spans="1:8" x14ac:dyDescent="0.2">
      <c r="A93" s="37" t="s">
        <v>99</v>
      </c>
      <c r="B93" s="3"/>
      <c r="C93" s="42"/>
      <c r="D93" s="164"/>
      <c r="E93" s="90">
        <v>0</v>
      </c>
    </row>
    <row r="94" spans="1:8" x14ac:dyDescent="0.2">
      <c r="A94" s="37" t="s">
        <v>176</v>
      </c>
      <c r="B94" s="3"/>
      <c r="C94" s="42"/>
      <c r="D94" s="164"/>
      <c r="E94" s="90">
        <v>0</v>
      </c>
    </row>
    <row r="95" spans="1:8" x14ac:dyDescent="0.2">
      <c r="A95" s="37" t="s">
        <v>99</v>
      </c>
      <c r="B95" s="3"/>
      <c r="C95" s="42"/>
      <c r="D95" s="164"/>
      <c r="E95" s="90">
        <v>0</v>
      </c>
    </row>
    <row r="96" spans="1:8" x14ac:dyDescent="0.2">
      <c r="A96" s="37" t="s">
        <v>177</v>
      </c>
      <c r="B96" s="3"/>
      <c r="C96" s="42"/>
      <c r="D96" s="164"/>
      <c r="E96" s="90">
        <v>0</v>
      </c>
    </row>
    <row r="97" spans="1:8" x14ac:dyDescent="0.2">
      <c r="A97" s="37" t="s">
        <v>99</v>
      </c>
      <c r="B97" s="3"/>
      <c r="C97" s="42"/>
      <c r="D97" s="164"/>
      <c r="E97" s="90">
        <v>0</v>
      </c>
    </row>
    <row r="98" spans="1:8" x14ac:dyDescent="0.2">
      <c r="A98" s="143" t="s">
        <v>30</v>
      </c>
      <c r="B98" s="3"/>
      <c r="C98" s="42"/>
      <c r="D98" s="164"/>
      <c r="E98" s="90">
        <v>0</v>
      </c>
    </row>
    <row r="99" spans="1:8" x14ac:dyDescent="0.2">
      <c r="A99" s="143" t="s">
        <v>31</v>
      </c>
      <c r="B99" s="3"/>
      <c r="C99" s="42"/>
      <c r="D99" s="164"/>
      <c r="E99" s="90">
        <v>0</v>
      </c>
    </row>
    <row r="100" spans="1:8" x14ac:dyDescent="0.2">
      <c r="A100" s="156" t="s">
        <v>198</v>
      </c>
      <c r="B100" s="157"/>
      <c r="C100" s="148"/>
      <c r="D100" s="165"/>
      <c r="E100" s="250">
        <f>SUM(E76:E99)</f>
        <v>0</v>
      </c>
    </row>
    <row r="101" spans="1:8" x14ac:dyDescent="0.2">
      <c r="A101" s="131" t="s">
        <v>10</v>
      </c>
      <c r="B101" s="105"/>
      <c r="C101" s="130"/>
      <c r="D101" s="109"/>
      <c r="E101" s="109"/>
      <c r="F101" s="92"/>
    </row>
    <row r="102" spans="1:8" x14ac:dyDescent="0.2">
      <c r="A102" s="144"/>
      <c r="B102" s="3"/>
      <c r="C102" s="9"/>
      <c r="D102" s="10"/>
      <c r="E102" s="7" t="s">
        <v>240</v>
      </c>
    </row>
    <row r="103" spans="1:8" x14ac:dyDescent="0.2">
      <c r="A103" s="143" t="s">
        <v>118</v>
      </c>
      <c r="B103" s="3"/>
      <c r="C103" s="42"/>
      <c r="D103" s="43"/>
      <c r="E103" s="90">
        <v>0</v>
      </c>
    </row>
    <row r="104" spans="1:8" x14ac:dyDescent="0.2">
      <c r="A104" s="143"/>
      <c r="B104" s="3"/>
      <c r="C104" s="225" t="s">
        <v>116</v>
      </c>
      <c r="D104" s="226" t="s">
        <v>257</v>
      </c>
      <c r="E104" s="7" t="s">
        <v>240</v>
      </c>
    </row>
    <row r="105" spans="1:8" x14ac:dyDescent="0.2">
      <c r="A105" s="20" t="s">
        <v>115</v>
      </c>
      <c r="B105" s="5"/>
      <c r="C105" s="150">
        <v>0</v>
      </c>
      <c r="D105" s="151">
        <v>5.5</v>
      </c>
      <c r="E105" s="246">
        <f>+C105*D105</f>
        <v>0</v>
      </c>
    </row>
    <row r="106" spans="1:8" x14ac:dyDescent="0.2">
      <c r="A106" s="152" t="s">
        <v>117</v>
      </c>
      <c r="B106" s="153"/>
      <c r="C106" s="154"/>
      <c r="D106" s="155"/>
      <c r="E106" s="250">
        <f>E105+E103</f>
        <v>0</v>
      </c>
    </row>
    <row r="107" spans="1:8" ht="15" x14ac:dyDescent="0.25">
      <c r="A107" s="110" t="s">
        <v>93</v>
      </c>
      <c r="B107" s="103"/>
      <c r="C107" s="104"/>
      <c r="D107" s="105"/>
      <c r="E107" s="105"/>
      <c r="F107" s="92"/>
      <c r="H107" s="129"/>
    </row>
    <row r="108" spans="1:8" ht="13.5" customHeight="1" x14ac:dyDescent="0.2">
      <c r="A108" s="18"/>
      <c r="B108" s="4"/>
      <c r="C108" s="3"/>
      <c r="D108" s="3"/>
      <c r="E108" s="7" t="s">
        <v>240</v>
      </c>
    </row>
    <row r="109" spans="1:8" ht="13.5" customHeight="1" x14ac:dyDescent="0.2">
      <c r="A109" s="33" t="s">
        <v>232</v>
      </c>
      <c r="B109" s="4"/>
      <c r="C109" s="3"/>
      <c r="D109" s="3"/>
      <c r="E109" s="173">
        <v>0</v>
      </c>
    </row>
    <row r="110" spans="1:8" x14ac:dyDescent="0.2">
      <c r="A110" s="33" t="s">
        <v>28</v>
      </c>
      <c r="B110" s="4"/>
      <c r="C110" s="42"/>
      <c r="D110" s="43"/>
      <c r="E110" s="90">
        <v>0</v>
      </c>
    </row>
    <row r="111" spans="1:8" x14ac:dyDescent="0.2">
      <c r="A111" s="33" t="s">
        <v>102</v>
      </c>
      <c r="B111" s="4"/>
      <c r="C111" s="42"/>
      <c r="D111" s="43"/>
      <c r="E111" s="90">
        <v>0</v>
      </c>
    </row>
    <row r="112" spans="1:8" ht="15" x14ac:dyDescent="0.25">
      <c r="A112" s="33" t="s">
        <v>91</v>
      </c>
      <c r="B112" s="40" t="s">
        <v>233</v>
      </c>
      <c r="C112" s="42"/>
      <c r="D112" s="43"/>
      <c r="E112" s="90">
        <v>0</v>
      </c>
      <c r="H112" s="128"/>
    </row>
    <row r="113" spans="1:8" ht="15" x14ac:dyDescent="0.25">
      <c r="A113" s="33" t="s">
        <v>101</v>
      </c>
      <c r="B113" s="40"/>
      <c r="C113" s="42"/>
      <c r="D113" s="43"/>
      <c r="E113" s="193">
        <v>2.5</v>
      </c>
      <c r="H113" s="128"/>
    </row>
    <row r="114" spans="1:8" x14ac:dyDescent="0.2">
      <c r="A114" s="146" t="s">
        <v>120</v>
      </c>
      <c r="B114" s="147"/>
      <c r="C114" s="148"/>
      <c r="D114" s="149"/>
      <c r="E114" s="250">
        <f>SUM(E109:E113)</f>
        <v>2.5</v>
      </c>
    </row>
    <row r="115" spans="1:8" x14ac:dyDescent="0.2">
      <c r="A115" s="92"/>
      <c r="B115" s="103"/>
      <c r="C115" s="135"/>
      <c r="D115" s="136"/>
      <c r="E115" s="133"/>
      <c r="F115" s="92"/>
    </row>
    <row r="116" spans="1:8" x14ac:dyDescent="0.2">
      <c r="A116" s="287" t="s">
        <v>202</v>
      </c>
      <c r="B116" s="288"/>
      <c r="C116" s="289"/>
      <c r="D116" s="290"/>
      <c r="E116" s="250">
        <f>E60+E73+E100+E106+E114</f>
        <v>135.94999999999999</v>
      </c>
    </row>
    <row r="117" spans="1:8" x14ac:dyDescent="0.2">
      <c r="A117" s="14"/>
      <c r="B117" s="3"/>
      <c r="C117" s="9"/>
      <c r="D117" s="10"/>
      <c r="E117" s="126"/>
    </row>
    <row r="118" spans="1:8" x14ac:dyDescent="0.2">
      <c r="A118" s="111" t="s">
        <v>100</v>
      </c>
      <c r="B118" s="92"/>
      <c r="C118" s="127"/>
      <c r="D118" s="103"/>
      <c r="E118" s="92"/>
      <c r="F118" s="92"/>
    </row>
    <row r="119" spans="1:8" x14ac:dyDescent="0.2">
      <c r="A119" s="11" t="s">
        <v>121</v>
      </c>
      <c r="C119" s="219" t="s">
        <v>256</v>
      </c>
      <c r="D119" s="228" t="s">
        <v>255</v>
      </c>
      <c r="E119" s="7" t="s">
        <v>240</v>
      </c>
    </row>
    <row r="120" spans="1:8" x14ac:dyDescent="0.2">
      <c r="A120" s="199" t="s">
        <v>82</v>
      </c>
      <c r="B120" s="4"/>
      <c r="C120" s="68">
        <v>0</v>
      </c>
      <c r="D120" s="89">
        <v>20</v>
      </c>
      <c r="E120" s="241">
        <f>C120*D120</f>
        <v>0</v>
      </c>
    </row>
    <row r="121" spans="1:8" x14ac:dyDescent="0.2">
      <c r="A121" s="199" t="s">
        <v>9</v>
      </c>
      <c r="B121" s="4"/>
      <c r="C121" s="68">
        <v>0</v>
      </c>
      <c r="D121" s="90">
        <v>18</v>
      </c>
      <c r="E121" s="241">
        <f t="shared" ref="E121:E128" si="3">C121*D121</f>
        <v>0</v>
      </c>
    </row>
    <row r="122" spans="1:8" x14ac:dyDescent="0.2">
      <c r="A122" s="199" t="s">
        <v>403</v>
      </c>
      <c r="B122" s="4"/>
      <c r="C122" s="68">
        <v>1</v>
      </c>
      <c r="D122" s="90">
        <v>35</v>
      </c>
      <c r="E122" s="241">
        <f t="shared" si="3"/>
        <v>35</v>
      </c>
    </row>
    <row r="123" spans="1:8" x14ac:dyDescent="0.2">
      <c r="A123" s="199"/>
      <c r="B123" s="4"/>
      <c r="C123" s="68"/>
      <c r="D123" s="90">
        <v>0</v>
      </c>
      <c r="E123" s="241">
        <f t="shared" si="3"/>
        <v>0</v>
      </c>
    </row>
    <row r="124" spans="1:8" x14ac:dyDescent="0.2">
      <c r="A124" s="199"/>
      <c r="B124" s="4"/>
      <c r="C124" s="68"/>
      <c r="D124" s="90">
        <v>0</v>
      </c>
      <c r="E124" s="241">
        <f t="shared" si="3"/>
        <v>0</v>
      </c>
    </row>
    <row r="125" spans="1:8" ht="14.25" customHeight="1" x14ac:dyDescent="0.2">
      <c r="A125" s="213" t="s">
        <v>108</v>
      </c>
      <c r="B125" s="4"/>
      <c r="C125" s="68">
        <v>0</v>
      </c>
      <c r="D125" s="90">
        <v>18</v>
      </c>
      <c r="E125" s="241">
        <f t="shared" si="3"/>
        <v>0</v>
      </c>
    </row>
    <row r="126" spans="1:8" ht="14.25" customHeight="1" x14ac:dyDescent="0.2">
      <c r="A126" s="213"/>
      <c r="B126" s="4"/>
      <c r="C126" s="68"/>
      <c r="D126" s="90">
        <v>0</v>
      </c>
      <c r="E126" s="241">
        <v>0</v>
      </c>
    </row>
    <row r="127" spans="1:8" ht="14.25" customHeight="1" x14ac:dyDescent="0.2">
      <c r="A127" s="213"/>
      <c r="B127" s="4"/>
      <c r="C127" s="68"/>
      <c r="D127" s="90">
        <v>0</v>
      </c>
      <c r="E127" s="241">
        <v>0</v>
      </c>
    </row>
    <row r="128" spans="1:8" ht="12" customHeight="1" x14ac:dyDescent="0.2">
      <c r="A128" s="213"/>
      <c r="B128" s="3"/>
      <c r="C128" s="68"/>
      <c r="D128" s="90">
        <v>0</v>
      </c>
      <c r="E128" s="241">
        <f t="shared" si="3"/>
        <v>0</v>
      </c>
    </row>
    <row r="129" spans="1:19" ht="12.75" customHeight="1" x14ac:dyDescent="0.2">
      <c r="A129" s="199"/>
      <c r="B129" s="292"/>
      <c r="C129" s="68"/>
      <c r="D129" s="90">
        <v>0</v>
      </c>
      <c r="E129" s="245">
        <f>C129*D129</f>
        <v>0</v>
      </c>
    </row>
    <row r="130" spans="1:19" ht="12" customHeight="1" x14ac:dyDescent="0.2">
      <c r="A130" s="287" t="s">
        <v>183</v>
      </c>
      <c r="B130" s="288"/>
      <c r="C130" s="289"/>
      <c r="D130" s="291"/>
      <c r="E130" s="250">
        <f>SUM(E120:E129)</f>
        <v>35</v>
      </c>
      <c r="H130" s="322" t="s">
        <v>336</v>
      </c>
    </row>
    <row r="131" spans="1:19" ht="12" customHeight="1" x14ac:dyDescent="0.2">
      <c r="A131" s="8"/>
      <c r="B131" s="3"/>
      <c r="C131" s="9"/>
      <c r="D131" s="3"/>
      <c r="E131" s="126"/>
      <c r="H131" s="323" t="s">
        <v>355</v>
      </c>
    </row>
    <row r="132" spans="1:19" ht="12.75" customHeight="1" x14ac:dyDescent="0.2">
      <c r="A132" s="14" t="s">
        <v>220</v>
      </c>
      <c r="B132" s="3"/>
      <c r="C132" s="7" t="s">
        <v>312</v>
      </c>
      <c r="D132" s="7" t="s">
        <v>255</v>
      </c>
      <c r="E132" s="7" t="s">
        <v>240</v>
      </c>
    </row>
    <row r="133" spans="1:19" ht="12.75" customHeight="1" x14ac:dyDescent="0.2">
      <c r="A133" s="196" t="s">
        <v>346</v>
      </c>
      <c r="B133" s="3"/>
      <c r="C133" s="68">
        <v>1</v>
      </c>
      <c r="D133" s="91">
        <v>18</v>
      </c>
      <c r="E133" s="245">
        <f>C133*D133</f>
        <v>18</v>
      </c>
      <c r="H133" s="322" t="s">
        <v>334</v>
      </c>
    </row>
    <row r="134" spans="1:19" ht="12.75" customHeight="1" x14ac:dyDescent="0.2">
      <c r="A134" s="199" t="s">
        <v>347</v>
      </c>
      <c r="B134" s="40"/>
      <c r="C134" s="68">
        <v>1</v>
      </c>
      <c r="D134" s="91">
        <v>18</v>
      </c>
      <c r="E134" s="245">
        <f t="shared" ref="E134:E140" si="4">C134*D134</f>
        <v>18</v>
      </c>
      <c r="H134" s="323" t="s">
        <v>335</v>
      </c>
      <c r="S134" s="4"/>
    </row>
    <row r="135" spans="1:19" ht="12.75" customHeight="1" x14ac:dyDescent="0.2">
      <c r="A135" s="199" t="s">
        <v>348</v>
      </c>
      <c r="B135" s="4"/>
      <c r="C135" s="68">
        <v>1</v>
      </c>
      <c r="D135" s="91">
        <v>70</v>
      </c>
      <c r="E135" s="245">
        <f t="shared" si="4"/>
        <v>70</v>
      </c>
      <c r="H135" s="36" t="s">
        <v>357</v>
      </c>
      <c r="S135" s="4"/>
    </row>
    <row r="136" spans="1:19" ht="12.75" customHeight="1" x14ac:dyDescent="0.2">
      <c r="A136" s="199"/>
      <c r="B136" s="40"/>
      <c r="C136" s="68"/>
      <c r="D136" s="91">
        <v>0</v>
      </c>
      <c r="E136" s="245">
        <f t="shared" si="4"/>
        <v>0</v>
      </c>
      <c r="S136" s="4"/>
    </row>
    <row r="137" spans="1:19" ht="12.75" customHeight="1" x14ac:dyDescent="0.2">
      <c r="A137" s="199"/>
      <c r="B137" s="40"/>
      <c r="C137" s="68"/>
      <c r="D137" s="91">
        <v>0</v>
      </c>
      <c r="E137" s="245">
        <f t="shared" si="4"/>
        <v>0</v>
      </c>
      <c r="H137" t="s">
        <v>358</v>
      </c>
      <c r="S137" s="4"/>
    </row>
    <row r="138" spans="1:19" ht="12.75" customHeight="1" x14ac:dyDescent="0.2">
      <c r="A138" s="199"/>
      <c r="B138" s="40"/>
      <c r="C138" s="68"/>
      <c r="D138" s="91">
        <v>0</v>
      </c>
      <c r="E138" s="245">
        <f t="shared" si="4"/>
        <v>0</v>
      </c>
      <c r="H138" s="323" t="s">
        <v>359</v>
      </c>
      <c r="S138" s="4"/>
    </row>
    <row r="139" spans="1:19" ht="12.75" customHeight="1" x14ac:dyDescent="0.2">
      <c r="A139" s="199"/>
      <c r="B139" s="40"/>
      <c r="C139" s="68"/>
      <c r="D139" s="91">
        <v>0</v>
      </c>
      <c r="E139" s="245">
        <f t="shared" si="4"/>
        <v>0</v>
      </c>
      <c r="S139" s="4"/>
    </row>
    <row r="140" spans="1:19" ht="12.75" customHeight="1" x14ac:dyDescent="0.2">
      <c r="A140" s="199"/>
      <c r="B140" s="295"/>
      <c r="C140" s="68"/>
      <c r="D140" s="90">
        <v>0</v>
      </c>
      <c r="E140" s="245">
        <f t="shared" si="4"/>
        <v>0</v>
      </c>
      <c r="H140" s="322" t="s">
        <v>337</v>
      </c>
      <c r="S140" s="4"/>
    </row>
    <row r="141" spans="1:19" ht="12.75" customHeight="1" x14ac:dyDescent="0.2">
      <c r="A141" s="168" t="s">
        <v>221</v>
      </c>
      <c r="B141" s="132"/>
      <c r="C141" s="293"/>
      <c r="D141" s="297"/>
      <c r="E141" s="298">
        <f>SUM(E133:E140)</f>
        <v>106</v>
      </c>
      <c r="H141" s="323" t="s">
        <v>338</v>
      </c>
      <c r="S141" s="4"/>
    </row>
    <row r="142" spans="1:19" ht="12.75" customHeight="1" x14ac:dyDescent="0.2">
      <c r="A142" s="40"/>
      <c r="B142" s="40"/>
      <c r="C142" s="42"/>
      <c r="D142" s="164"/>
      <c r="E142" s="93"/>
      <c r="S142" s="4"/>
    </row>
    <row r="143" spans="1:19" ht="12.75" customHeight="1" x14ac:dyDescent="0.2">
      <c r="A143" s="198" t="s">
        <v>271</v>
      </c>
      <c r="B143" s="7" t="s">
        <v>311</v>
      </c>
      <c r="C143" s="225" t="s">
        <v>268</v>
      </c>
      <c r="D143" s="226" t="s">
        <v>267</v>
      </c>
      <c r="E143" s="7" t="s">
        <v>240</v>
      </c>
      <c r="H143" s="322" t="s">
        <v>339</v>
      </c>
      <c r="S143" s="4"/>
    </row>
    <row r="144" spans="1:19" ht="12.75" customHeight="1" x14ac:dyDescent="0.2">
      <c r="A144" s="199" t="s">
        <v>354</v>
      </c>
      <c r="B144" s="207"/>
      <c r="C144" s="68"/>
      <c r="D144" s="90">
        <v>0</v>
      </c>
      <c r="E144" s="245">
        <f t="shared" ref="E144:E145" si="5">IFERROR((D144/C144)*B144,0)</f>
        <v>0</v>
      </c>
      <c r="H144" s="323" t="s">
        <v>356</v>
      </c>
      <c r="S144" s="4"/>
    </row>
    <row r="145" spans="1:19" ht="12.75" customHeight="1" x14ac:dyDescent="0.2">
      <c r="A145" s="199"/>
      <c r="B145" s="207"/>
      <c r="C145" s="68"/>
      <c r="D145" s="91">
        <v>0</v>
      </c>
      <c r="E145" s="245">
        <f t="shared" si="5"/>
        <v>0</v>
      </c>
      <c r="S145" s="4"/>
    </row>
    <row r="146" spans="1:19" ht="12.75" customHeight="1" x14ac:dyDescent="0.2">
      <c r="A146" s="199"/>
      <c r="B146" s="207"/>
      <c r="C146" s="68"/>
      <c r="D146" s="91">
        <v>0</v>
      </c>
      <c r="E146" s="245">
        <f>IFERROR((D146/C146)*B146,0)</f>
        <v>0</v>
      </c>
      <c r="S146" s="4"/>
    </row>
    <row r="147" spans="1:19" ht="12.75" customHeight="1" x14ac:dyDescent="0.2">
      <c r="A147" s="199"/>
      <c r="B147" s="207"/>
      <c r="C147" s="68"/>
      <c r="D147" s="91">
        <v>0</v>
      </c>
      <c r="E147" s="245">
        <f t="shared" ref="E147:E151" si="6">IFERROR((D147/C147)*B147,0)</f>
        <v>0</v>
      </c>
      <c r="S147" s="4"/>
    </row>
    <row r="148" spans="1:19" ht="12.75" customHeight="1" x14ac:dyDescent="0.2">
      <c r="A148" s="199"/>
      <c r="B148" s="207"/>
      <c r="C148" s="68"/>
      <c r="D148" s="91">
        <v>0</v>
      </c>
      <c r="E148" s="245">
        <f t="shared" si="6"/>
        <v>0</v>
      </c>
      <c r="S148" s="4"/>
    </row>
    <row r="149" spans="1:19" ht="12.75" customHeight="1" x14ac:dyDescent="0.2">
      <c r="A149" s="199"/>
      <c r="B149" s="207"/>
      <c r="C149" s="68"/>
      <c r="D149" s="91">
        <v>0</v>
      </c>
      <c r="E149" s="245">
        <f t="shared" si="6"/>
        <v>0</v>
      </c>
      <c r="S149" s="4"/>
    </row>
    <row r="150" spans="1:19" ht="12.75" customHeight="1" x14ac:dyDescent="0.2">
      <c r="A150" s="230"/>
      <c r="B150" s="207"/>
      <c r="C150" s="77"/>
      <c r="D150" s="174">
        <v>0</v>
      </c>
      <c r="E150" s="245">
        <f t="shared" si="6"/>
        <v>0</v>
      </c>
      <c r="S150" s="4"/>
    </row>
    <row r="151" spans="1:19" ht="12.75" customHeight="1" x14ac:dyDescent="0.2">
      <c r="A151" s="199"/>
      <c r="B151" s="207"/>
      <c r="C151" s="68"/>
      <c r="D151" s="90">
        <v>0</v>
      </c>
      <c r="E151" s="245">
        <f t="shared" si="6"/>
        <v>0</v>
      </c>
      <c r="S151" s="4"/>
    </row>
    <row r="152" spans="1:19" ht="12.75" customHeight="1" x14ac:dyDescent="0.2">
      <c r="A152" s="302" t="s">
        <v>222</v>
      </c>
      <c r="B152" s="303"/>
      <c r="C152" s="304"/>
      <c r="D152" s="305"/>
      <c r="E152" s="250">
        <f>SUM(E144:E151)</f>
        <v>0</v>
      </c>
      <c r="S152" s="4"/>
    </row>
    <row r="153" spans="1:19" ht="12.75" customHeight="1" x14ac:dyDescent="0.2">
      <c r="A153" s="40"/>
      <c r="B153" s="40"/>
      <c r="C153" s="42"/>
      <c r="D153" s="164"/>
      <c r="E153" s="93"/>
      <c r="S153" s="4"/>
    </row>
    <row r="154" spans="1:19" ht="12.75" customHeight="1" x14ac:dyDescent="0.2">
      <c r="A154" s="260" t="s">
        <v>309</v>
      </c>
      <c r="B154" s="40"/>
      <c r="C154" s="225" t="s">
        <v>310</v>
      </c>
      <c r="D154" s="234" t="s">
        <v>301</v>
      </c>
      <c r="E154" s="93"/>
      <c r="S154" s="4"/>
    </row>
    <row r="155" spans="1:19" ht="12.75" customHeight="1" x14ac:dyDescent="0.2">
      <c r="A155" s="199"/>
      <c r="B155" s="40"/>
      <c r="C155" s="68"/>
      <c r="D155" s="90">
        <v>0</v>
      </c>
      <c r="E155" s="245">
        <f>C155*D155</f>
        <v>0</v>
      </c>
      <c r="S155" s="4"/>
    </row>
    <row r="156" spans="1:19" ht="12.75" customHeight="1" x14ac:dyDescent="0.2">
      <c r="A156" s="199"/>
      <c r="B156" s="40"/>
      <c r="C156" s="68"/>
      <c r="D156" s="91">
        <v>0</v>
      </c>
      <c r="E156" s="245">
        <f t="shared" ref="E156:E161" si="7">C156*D156</f>
        <v>0</v>
      </c>
      <c r="S156" s="4"/>
    </row>
    <row r="157" spans="1:19" ht="12.75" customHeight="1" x14ac:dyDescent="0.2">
      <c r="A157" s="199" t="s">
        <v>210</v>
      </c>
      <c r="B157" s="40"/>
      <c r="C157" s="68"/>
      <c r="D157" s="91">
        <v>0</v>
      </c>
      <c r="E157" s="245">
        <f t="shared" si="7"/>
        <v>0</v>
      </c>
      <c r="S157" s="4"/>
    </row>
    <row r="158" spans="1:19" ht="12.75" customHeight="1" x14ac:dyDescent="0.2">
      <c r="A158" s="199"/>
      <c r="B158" s="40"/>
      <c r="C158" s="68"/>
      <c r="D158" s="91">
        <v>0</v>
      </c>
      <c r="E158" s="245">
        <f t="shared" si="7"/>
        <v>0</v>
      </c>
      <c r="S158" s="4"/>
    </row>
    <row r="159" spans="1:19" ht="12.75" customHeight="1" x14ac:dyDescent="0.2">
      <c r="A159" s="199"/>
      <c r="B159" s="40"/>
      <c r="C159" s="68"/>
      <c r="D159" s="91">
        <v>0</v>
      </c>
      <c r="E159" s="245">
        <f t="shared" si="7"/>
        <v>0</v>
      </c>
      <c r="S159" s="4"/>
    </row>
    <row r="160" spans="1:19" ht="12.75" customHeight="1" x14ac:dyDescent="0.2">
      <c r="A160" s="199"/>
      <c r="B160" s="40"/>
      <c r="C160" s="68"/>
      <c r="D160" s="91">
        <v>0</v>
      </c>
      <c r="E160" s="245">
        <f t="shared" si="7"/>
        <v>0</v>
      </c>
      <c r="S160" s="4"/>
    </row>
    <row r="161" spans="1:19" ht="12.75" customHeight="1" x14ac:dyDescent="0.2">
      <c r="A161" s="199"/>
      <c r="B161" s="295"/>
      <c r="C161" s="68"/>
      <c r="D161" s="90">
        <v>0</v>
      </c>
      <c r="E161" s="245">
        <f t="shared" si="7"/>
        <v>0</v>
      </c>
      <c r="S161" s="4"/>
    </row>
    <row r="162" spans="1:19" ht="12.75" customHeight="1" x14ac:dyDescent="0.2">
      <c r="A162" s="301" t="s">
        <v>223</v>
      </c>
      <c r="B162" s="132"/>
      <c r="C162" s="293"/>
      <c r="D162" s="297"/>
      <c r="E162" s="250">
        <f>SUM(E155:E161)</f>
        <v>0</v>
      </c>
      <c r="S162" s="4"/>
    </row>
    <row r="163" spans="1:19" ht="12.75" customHeight="1" x14ac:dyDescent="0.2">
      <c r="A163" s="40"/>
      <c r="B163" s="40"/>
      <c r="C163" s="42"/>
      <c r="D163" s="164"/>
      <c r="E163" s="93"/>
      <c r="S163" s="4"/>
    </row>
    <row r="164" spans="1:19" ht="12.75" customHeight="1" x14ac:dyDescent="0.2">
      <c r="A164" s="260" t="s">
        <v>273</v>
      </c>
      <c r="B164" s="40"/>
      <c r="C164" s="225" t="s">
        <v>308</v>
      </c>
      <c r="D164" s="226" t="s">
        <v>239</v>
      </c>
      <c r="E164" s="93"/>
      <c r="S164" s="4"/>
    </row>
    <row r="165" spans="1:19" ht="12.75" customHeight="1" x14ac:dyDescent="0.2">
      <c r="A165" s="199"/>
      <c r="B165" s="40"/>
      <c r="C165" s="68"/>
      <c r="D165" s="90">
        <v>0</v>
      </c>
      <c r="E165" s="245">
        <f>C165*D165</f>
        <v>0</v>
      </c>
      <c r="S165" s="4"/>
    </row>
    <row r="166" spans="1:19" ht="12.75" customHeight="1" x14ac:dyDescent="0.2">
      <c r="A166" s="199"/>
      <c r="B166" s="40"/>
      <c r="C166" s="68"/>
      <c r="D166" s="90">
        <v>0</v>
      </c>
      <c r="E166" s="245">
        <f t="shared" ref="E166:E171" si="8">C166*D166</f>
        <v>0</v>
      </c>
      <c r="S166" s="4"/>
    </row>
    <row r="167" spans="1:19" ht="12.75" customHeight="1" x14ac:dyDescent="0.2">
      <c r="A167" s="199"/>
      <c r="B167" s="40"/>
      <c r="C167" s="68"/>
      <c r="D167" s="90">
        <v>0</v>
      </c>
      <c r="E167" s="245">
        <f t="shared" si="8"/>
        <v>0</v>
      </c>
      <c r="S167" s="4"/>
    </row>
    <row r="168" spans="1:19" ht="12.75" customHeight="1" x14ac:dyDescent="0.2">
      <c r="A168" s="199"/>
      <c r="B168" s="40"/>
      <c r="C168" s="68"/>
      <c r="D168" s="90">
        <v>0</v>
      </c>
      <c r="E168" s="245">
        <f t="shared" si="8"/>
        <v>0</v>
      </c>
      <c r="S168" s="4"/>
    </row>
    <row r="169" spans="1:19" ht="12.75" customHeight="1" x14ac:dyDescent="0.2">
      <c r="A169" s="199"/>
      <c r="B169" s="40"/>
      <c r="C169" s="68"/>
      <c r="D169" s="90">
        <v>0</v>
      </c>
      <c r="E169" s="245">
        <f t="shared" si="8"/>
        <v>0</v>
      </c>
      <c r="S169" s="4"/>
    </row>
    <row r="170" spans="1:19" ht="12.75" customHeight="1" x14ac:dyDescent="0.2">
      <c r="A170" s="230"/>
      <c r="B170" s="40"/>
      <c r="C170" s="68"/>
      <c r="D170" s="193">
        <v>0</v>
      </c>
      <c r="E170" s="246">
        <f t="shared" si="8"/>
        <v>0</v>
      </c>
      <c r="S170" s="4"/>
    </row>
    <row r="171" spans="1:19" ht="12.75" customHeight="1" x14ac:dyDescent="0.2">
      <c r="A171" s="199"/>
      <c r="B171" s="295"/>
      <c r="C171" s="68"/>
      <c r="D171" s="90">
        <v>0</v>
      </c>
      <c r="E171" s="245">
        <f t="shared" si="8"/>
        <v>0</v>
      </c>
      <c r="S171" s="4"/>
    </row>
    <row r="172" spans="1:19" ht="12.75" customHeight="1" x14ac:dyDescent="0.2">
      <c r="A172" s="302" t="s">
        <v>224</v>
      </c>
      <c r="B172" s="303"/>
      <c r="C172" s="304"/>
      <c r="D172" s="305"/>
      <c r="E172" s="250">
        <f>SUM(E165:E171)</f>
        <v>0</v>
      </c>
      <c r="S172" s="4"/>
    </row>
    <row r="173" spans="1:19" ht="12.75" customHeight="1" x14ac:dyDescent="0.2">
      <c r="A173" s="40"/>
      <c r="B173" s="40"/>
      <c r="C173" s="42"/>
      <c r="D173" s="164"/>
      <c r="E173" s="93"/>
      <c r="S173" s="4"/>
    </row>
    <row r="174" spans="1:19" ht="12.75" customHeight="1" x14ac:dyDescent="0.2">
      <c r="A174" s="198" t="s">
        <v>34</v>
      </c>
      <c r="B174" s="7" t="s">
        <v>275</v>
      </c>
      <c r="C174" s="225" t="s">
        <v>124</v>
      </c>
      <c r="D174" s="235" t="s">
        <v>253</v>
      </c>
      <c r="E174" s="7" t="s">
        <v>240</v>
      </c>
      <c r="S174" s="4"/>
    </row>
    <row r="175" spans="1:19" ht="12.75" customHeight="1" x14ac:dyDescent="0.2">
      <c r="A175" s="199" t="s">
        <v>134</v>
      </c>
      <c r="B175" s="207">
        <v>15</v>
      </c>
      <c r="C175" s="68">
        <v>0</v>
      </c>
      <c r="D175" s="71">
        <v>4</v>
      </c>
      <c r="E175" s="245">
        <f>((C175*D175)*((C14+C15)/B175))</f>
        <v>0</v>
      </c>
      <c r="S175" s="4"/>
    </row>
    <row r="176" spans="1:19" ht="12.75" customHeight="1" x14ac:dyDescent="0.2">
      <c r="A176" s="230"/>
      <c r="B176" s="207">
        <v>10</v>
      </c>
      <c r="C176" s="77"/>
      <c r="D176" s="174"/>
      <c r="E176" s="246">
        <f>((C176*D176)*(C16/B176))</f>
        <v>0</v>
      </c>
      <c r="S176" s="4"/>
    </row>
    <row r="177" spans="1:19" ht="12.75" customHeight="1" x14ac:dyDescent="0.2">
      <c r="A177" s="146" t="s">
        <v>123</v>
      </c>
      <c r="B177" s="147"/>
      <c r="C177" s="148"/>
      <c r="D177" s="149"/>
      <c r="E177" s="250">
        <f>E141+E152+E162+E172+E175+E176</f>
        <v>106</v>
      </c>
      <c r="S177" s="4"/>
    </row>
    <row r="178" spans="1:19" ht="12.75" customHeight="1" x14ac:dyDescent="0.2">
      <c r="A178" s="110" t="s">
        <v>32</v>
      </c>
      <c r="B178" s="106"/>
      <c r="C178" s="107"/>
      <c r="D178" s="108"/>
      <c r="E178" s="109"/>
      <c r="F178" s="92"/>
      <c r="S178" s="4"/>
    </row>
    <row r="179" spans="1:19" ht="12.75" customHeight="1" x14ac:dyDescent="0.2">
      <c r="A179" s="40"/>
      <c r="B179" s="236" t="s">
        <v>179</v>
      </c>
      <c r="C179" s="236" t="s">
        <v>276</v>
      </c>
      <c r="D179" s="237" t="s">
        <v>277</v>
      </c>
      <c r="E179" s="7" t="s">
        <v>240</v>
      </c>
      <c r="S179" s="4"/>
    </row>
    <row r="180" spans="1:19" ht="12.75" customHeight="1" x14ac:dyDescent="0.2">
      <c r="A180" s="199" t="s">
        <v>212</v>
      </c>
      <c r="B180" s="218">
        <v>1</v>
      </c>
      <c r="C180" s="172">
        <v>260</v>
      </c>
      <c r="D180" s="173">
        <v>1000</v>
      </c>
      <c r="E180" s="274">
        <f>IFERROR(((D180/C180)*($C$14+$C$15))*B180,0)</f>
        <v>17.307692307692307</v>
      </c>
      <c r="S180" s="4"/>
    </row>
    <row r="181" spans="1:19" ht="12.75" customHeight="1" x14ac:dyDescent="0.25">
      <c r="A181" s="199" t="s">
        <v>211</v>
      </c>
      <c r="B181" s="218">
        <v>0</v>
      </c>
      <c r="C181" s="68">
        <v>400</v>
      </c>
      <c r="D181" s="90">
        <v>0</v>
      </c>
      <c r="E181" s="245">
        <f t="shared" ref="E181:E182" si="9">IFERROR(((D181/C181)*($C$14+$C$15))*B181,0)</f>
        <v>0</v>
      </c>
      <c r="H181" s="188" t="s">
        <v>144</v>
      </c>
      <c r="I181" s="177"/>
      <c r="J181" s="177"/>
      <c r="K181" s="177"/>
      <c r="L181" s="178"/>
      <c r="M181" s="179"/>
      <c r="S181" s="4"/>
    </row>
    <row r="182" spans="1:19" ht="12.75" customHeight="1" x14ac:dyDescent="0.25">
      <c r="A182" s="199" t="s">
        <v>181</v>
      </c>
      <c r="B182" s="218"/>
      <c r="C182" s="68"/>
      <c r="D182" s="90"/>
      <c r="E182" s="245">
        <f t="shared" si="9"/>
        <v>0</v>
      </c>
      <c r="H182" s="180" t="s">
        <v>145</v>
      </c>
      <c r="I182" s="181"/>
      <c r="J182" s="181"/>
      <c r="K182" s="182" t="s">
        <v>154</v>
      </c>
      <c r="L182" s="178"/>
      <c r="M182" s="179"/>
      <c r="S182" s="4"/>
    </row>
    <row r="183" spans="1:19" ht="12.75" customHeight="1" x14ac:dyDescent="0.25">
      <c r="A183" s="192"/>
      <c r="B183" s="40" t="s">
        <v>180</v>
      </c>
      <c r="C183" s="134" t="s">
        <v>279</v>
      </c>
      <c r="D183" s="300" t="s">
        <v>278</v>
      </c>
      <c r="E183" s="102"/>
      <c r="H183" s="183" t="s">
        <v>146</v>
      </c>
      <c r="I183" s="181"/>
      <c r="J183" s="181"/>
      <c r="K183" s="181" t="s">
        <v>147</v>
      </c>
      <c r="L183" s="181"/>
      <c r="M183" s="184"/>
      <c r="S183" s="4"/>
    </row>
    <row r="184" spans="1:19" ht="12.75" customHeight="1" x14ac:dyDescent="0.25">
      <c r="A184" s="199" t="s">
        <v>178</v>
      </c>
      <c r="B184" s="207"/>
      <c r="C184" s="68"/>
      <c r="D184" s="90"/>
      <c r="E184" s="245">
        <f>IFERROR(((D184/C184)*($C$14+$C$15))*B184,0)</f>
        <v>0</v>
      </c>
      <c r="H184" s="183" t="s">
        <v>148</v>
      </c>
      <c r="I184" s="181"/>
      <c r="J184" s="181"/>
      <c r="K184" s="181" t="s">
        <v>149</v>
      </c>
      <c r="L184" s="181"/>
      <c r="M184" s="184"/>
      <c r="S184" s="4"/>
    </row>
    <row r="185" spans="1:19" ht="12.75" customHeight="1" x14ac:dyDescent="0.25">
      <c r="A185" s="40"/>
      <c r="B185" s="40"/>
      <c r="C185" s="44"/>
      <c r="D185" s="226" t="s">
        <v>155</v>
      </c>
      <c r="E185" s="7" t="s">
        <v>240</v>
      </c>
      <c r="H185" s="183" t="s">
        <v>150</v>
      </c>
      <c r="I185" s="181"/>
      <c r="J185" s="181"/>
      <c r="K185" s="181" t="s">
        <v>151</v>
      </c>
      <c r="L185" s="181"/>
      <c r="M185" s="184"/>
      <c r="S185" s="4"/>
    </row>
    <row r="186" spans="1:19" ht="12.75" customHeight="1" x14ac:dyDescent="0.25">
      <c r="A186" s="40" t="s">
        <v>213</v>
      </c>
      <c r="B186" s="189"/>
      <c r="C186" s="42"/>
      <c r="D186" s="191">
        <v>0.1</v>
      </c>
      <c r="E186" s="251">
        <f>(E18)*D186</f>
        <v>27</v>
      </c>
      <c r="H186" s="185" t="s">
        <v>152</v>
      </c>
      <c r="I186" s="186"/>
      <c r="J186" s="186"/>
      <c r="K186" s="186" t="s">
        <v>153</v>
      </c>
      <c r="L186" s="186"/>
      <c r="M186" s="187"/>
      <c r="S186" s="4"/>
    </row>
    <row r="187" spans="1:19" ht="12.75" customHeight="1" x14ac:dyDescent="0.2">
      <c r="A187" s="138" t="s">
        <v>104</v>
      </c>
      <c r="B187" s="106"/>
      <c r="C187" s="139"/>
      <c r="D187" s="140"/>
      <c r="E187" s="141"/>
      <c r="F187" s="92"/>
      <c r="S187" s="4"/>
    </row>
    <row r="188" spans="1:19" ht="12.75" customHeight="1" x14ac:dyDescent="0.2">
      <c r="A188" s="40"/>
      <c r="B188" s="40"/>
      <c r="C188" s="225" t="s">
        <v>125</v>
      </c>
      <c r="D188" s="226" t="s">
        <v>105</v>
      </c>
      <c r="E188" s="54" t="s">
        <v>240</v>
      </c>
      <c r="G188" s="20"/>
      <c r="S188" s="4"/>
    </row>
    <row r="189" spans="1:19" ht="12.75" customHeight="1" x14ac:dyDescent="0.2">
      <c r="A189" s="266" t="s">
        <v>45</v>
      </c>
      <c r="B189" s="267"/>
      <c r="C189" s="167">
        <v>1.5</v>
      </c>
      <c r="D189" s="90">
        <v>25</v>
      </c>
      <c r="E189" s="245">
        <f>C189*D189</f>
        <v>37.5</v>
      </c>
      <c r="S189" s="4"/>
    </row>
    <row r="190" spans="1:19" ht="12.75" customHeight="1" x14ac:dyDescent="0.2">
      <c r="A190" s="40"/>
      <c r="B190" s="40"/>
      <c r="C190" s="42"/>
      <c r="D190" s="43"/>
      <c r="E190" s="10"/>
      <c r="S190" s="4"/>
    </row>
    <row r="191" spans="1:19" ht="12.75" customHeight="1" x14ac:dyDescent="0.2">
      <c r="A191" s="106"/>
      <c r="B191" s="112"/>
      <c r="C191" s="107"/>
      <c r="D191" s="108"/>
      <c r="E191" s="142"/>
      <c r="F191" s="92"/>
    </row>
    <row r="192" spans="1:19" ht="12.75" customHeight="1" x14ac:dyDescent="0.2">
      <c r="A192" s="33" t="s">
        <v>113</v>
      </c>
      <c r="C192" s="231">
        <v>7.4999999999999997E-2</v>
      </c>
      <c r="E192" s="241">
        <f>(C192*0.67)*(E116+(0.2*E130))</f>
        <v>7.1832374999999997</v>
      </c>
      <c r="G192" s="86" t="s">
        <v>59</v>
      </c>
      <c r="H192" s="87"/>
      <c r="I192" s="87"/>
      <c r="J192" s="87"/>
      <c r="K192" s="87"/>
      <c r="L192" s="88"/>
    </row>
    <row r="193" spans="1:13" ht="12.75" customHeight="1" x14ac:dyDescent="0.2">
      <c r="A193" s="15"/>
      <c r="E193" s="6"/>
      <c r="G193" s="4"/>
      <c r="H193" s="4"/>
      <c r="I193" s="45"/>
      <c r="J193" s="45"/>
      <c r="K193" s="4"/>
      <c r="L193" s="45"/>
      <c r="M193" s="45"/>
    </row>
    <row r="194" spans="1:13" ht="12.75" customHeight="1" x14ac:dyDescent="0.2">
      <c r="A194" s="33" t="s">
        <v>85</v>
      </c>
      <c r="B194" s="4"/>
      <c r="C194" s="44"/>
      <c r="D194" s="43"/>
      <c r="E194" s="243">
        <f>E18*0.05</f>
        <v>13.5</v>
      </c>
    </row>
    <row r="195" spans="1:13" ht="12.75" customHeight="1" x14ac:dyDescent="0.2">
      <c r="A195" s="20" t="s">
        <v>231</v>
      </c>
      <c r="C195" s="16"/>
      <c r="E195" s="243">
        <f>E116+E130+E177+E180+E181+E182+E184+E189+E192</f>
        <v>338.94092980769233</v>
      </c>
    </row>
    <row r="196" spans="1:13" ht="12.75" customHeight="1" x14ac:dyDescent="0.2">
      <c r="A196" s="20" t="s">
        <v>230</v>
      </c>
      <c r="D196" s="16"/>
      <c r="E196" s="243">
        <f>E18-E195</f>
        <v>-68.940929807692328</v>
      </c>
    </row>
    <row r="197" spans="1:13" ht="14.25" x14ac:dyDescent="0.2">
      <c r="A197" s="21"/>
      <c r="C197" s="54"/>
      <c r="D197" s="54"/>
      <c r="E197" s="55"/>
    </row>
    <row r="198" spans="1:13" x14ac:dyDescent="0.2">
      <c r="A198" s="33" t="s">
        <v>218</v>
      </c>
      <c r="B198" s="4"/>
      <c r="C198" s="42"/>
      <c r="D198" s="53"/>
      <c r="E198" s="252">
        <f>E195/(C14+C15)</f>
        <v>75.320206623931625</v>
      </c>
    </row>
    <row r="199" spans="1:13" x14ac:dyDescent="0.2">
      <c r="A199" s="20" t="s">
        <v>219</v>
      </c>
      <c r="B199" s="4"/>
      <c r="E199" s="243">
        <f>E195/(C16+C17)</f>
        <v>215.20059035409037</v>
      </c>
    </row>
    <row r="200" spans="1:13" x14ac:dyDescent="0.2">
      <c r="B200" s="4"/>
    </row>
    <row r="201" spans="1:13" x14ac:dyDescent="0.2">
      <c r="C201" s="355" t="s">
        <v>26</v>
      </c>
      <c r="D201" s="356"/>
      <c r="E201" s="356"/>
      <c r="F201" s="356"/>
      <c r="G201" s="357"/>
    </row>
    <row r="202" spans="1:13" x14ac:dyDescent="0.2">
      <c r="C202" s="74"/>
      <c r="D202" s="75"/>
      <c r="E202" s="75"/>
      <c r="F202" s="75"/>
      <c r="G202" s="76"/>
    </row>
    <row r="203" spans="1:13" x14ac:dyDescent="0.2">
      <c r="C203" s="355" t="s">
        <v>18</v>
      </c>
      <c r="D203" s="356"/>
      <c r="E203" s="356"/>
      <c r="F203" s="356"/>
      <c r="G203" s="357"/>
    </row>
    <row r="204" spans="1:13" x14ac:dyDescent="0.2">
      <c r="A204" s="358" t="s">
        <v>24</v>
      </c>
      <c r="B204" s="359"/>
      <c r="C204" s="23"/>
      <c r="D204" s="23"/>
      <c r="E204" s="23"/>
      <c r="F204" s="23"/>
      <c r="G204" s="23"/>
    </row>
    <row r="205" spans="1:13" x14ac:dyDescent="0.2">
      <c r="A205" s="258" t="s">
        <v>27</v>
      </c>
      <c r="B205" s="259" t="s">
        <v>302</v>
      </c>
      <c r="C205" s="355" t="s">
        <v>26</v>
      </c>
      <c r="D205" s="356"/>
      <c r="E205" s="356"/>
      <c r="F205" s="356"/>
      <c r="G205" s="357"/>
    </row>
    <row r="206" spans="1:13" x14ac:dyDescent="0.2">
      <c r="A206" s="24" t="s">
        <v>21</v>
      </c>
      <c r="B206" s="349">
        <f>C14*1.2</f>
        <v>5.3999999999999995</v>
      </c>
      <c r="C206" s="347">
        <f t="shared" ref="C206:G210" si="10">((C$211*$B206)+$E$15)-$E$195</f>
        <v>-79.740929807692339</v>
      </c>
      <c r="D206" s="347">
        <f t="shared" si="10"/>
        <v>-47.340929807692362</v>
      </c>
      <c r="E206" s="347">
        <f t="shared" si="10"/>
        <v>-14.940929807692385</v>
      </c>
      <c r="F206" s="347">
        <f t="shared" si="10"/>
        <v>17.459070192307649</v>
      </c>
      <c r="G206" s="347">
        <f t="shared" si="10"/>
        <v>49.859070192307627</v>
      </c>
    </row>
    <row r="207" spans="1:13" x14ac:dyDescent="0.2">
      <c r="A207" s="24" t="s">
        <v>20</v>
      </c>
      <c r="B207" s="349">
        <f>C14*1.1</f>
        <v>4.95</v>
      </c>
      <c r="C207" s="347">
        <f t="shared" si="10"/>
        <v>-101.34092980769231</v>
      </c>
      <c r="D207" s="347">
        <f t="shared" si="10"/>
        <v>-71.640929807692316</v>
      </c>
      <c r="E207" s="347">
        <f t="shared" si="10"/>
        <v>-41.940929807692328</v>
      </c>
      <c r="F207" s="347">
        <f t="shared" si="10"/>
        <v>-12.240929807692339</v>
      </c>
      <c r="G207" s="347">
        <f t="shared" si="10"/>
        <v>17.459070192307706</v>
      </c>
    </row>
    <row r="208" spans="1:13" x14ac:dyDescent="0.2">
      <c r="A208" s="22"/>
      <c r="B208" s="349">
        <f>C14</f>
        <v>4.5</v>
      </c>
      <c r="C208" s="347">
        <f t="shared" si="10"/>
        <v>-122.94092980769233</v>
      </c>
      <c r="D208" s="347">
        <f t="shared" si="10"/>
        <v>-95.940929807692328</v>
      </c>
      <c r="E208" s="348">
        <f t="shared" si="10"/>
        <v>-68.940929807692328</v>
      </c>
      <c r="F208" s="347">
        <f t="shared" si="10"/>
        <v>-41.940929807692328</v>
      </c>
      <c r="G208" s="347">
        <f t="shared" si="10"/>
        <v>-14.940929807692328</v>
      </c>
    </row>
    <row r="209" spans="1:7" x14ac:dyDescent="0.2">
      <c r="A209" s="24" t="s">
        <v>22</v>
      </c>
      <c r="B209" s="349">
        <f>C14*0.9</f>
        <v>4.05</v>
      </c>
      <c r="C209" s="347">
        <f t="shared" si="10"/>
        <v>-144.54092980769235</v>
      </c>
      <c r="D209" s="347">
        <f t="shared" si="10"/>
        <v>-120.24092980769234</v>
      </c>
      <c r="E209" s="347">
        <f t="shared" si="10"/>
        <v>-95.940929807692328</v>
      </c>
      <c r="F209" s="347">
        <f t="shared" si="10"/>
        <v>-71.640929807692316</v>
      </c>
      <c r="G209" s="347">
        <f t="shared" si="10"/>
        <v>-47.340929807692362</v>
      </c>
    </row>
    <row r="210" spans="1:7" x14ac:dyDescent="0.2">
      <c r="A210" s="24" t="s">
        <v>23</v>
      </c>
      <c r="B210" s="349">
        <f>C14*0.8</f>
        <v>3.6</v>
      </c>
      <c r="C210" s="347">
        <f t="shared" si="10"/>
        <v>-166.14092980769232</v>
      </c>
      <c r="D210" s="347">
        <f t="shared" si="10"/>
        <v>-144.54092980769232</v>
      </c>
      <c r="E210" s="347">
        <f t="shared" si="10"/>
        <v>-122.94092980769233</v>
      </c>
      <c r="F210" s="347">
        <f t="shared" si="10"/>
        <v>-101.34092980769233</v>
      </c>
      <c r="G210" s="347">
        <f t="shared" si="10"/>
        <v>-79.740929807692339</v>
      </c>
    </row>
    <row r="211" spans="1:7" x14ac:dyDescent="0.2">
      <c r="A211" s="257" t="s">
        <v>414</v>
      </c>
      <c r="B211" s="253"/>
      <c r="C211" s="254">
        <f>D14*0.8</f>
        <v>48</v>
      </c>
      <c r="D211" s="254">
        <f>D14*0.9</f>
        <v>54</v>
      </c>
      <c r="E211" s="254">
        <f>D14</f>
        <v>60</v>
      </c>
      <c r="F211" s="254">
        <f>D14*1.1</f>
        <v>66</v>
      </c>
      <c r="G211" s="254">
        <f>D14*1.2</f>
        <v>72</v>
      </c>
    </row>
    <row r="212" spans="1:7" x14ac:dyDescent="0.2">
      <c r="A212" s="257" t="s">
        <v>19</v>
      </c>
      <c r="B212" s="253"/>
      <c r="C212" s="255" t="s">
        <v>23</v>
      </c>
      <c r="D212" s="255" t="s">
        <v>22</v>
      </c>
      <c r="E212" s="256"/>
      <c r="F212" s="255" t="s">
        <v>20</v>
      </c>
      <c r="G212" s="255" t="s">
        <v>21</v>
      </c>
    </row>
  </sheetData>
  <sheetProtection algorithmName="SHA-512" hashValue="ca5GsgAvYez+bhanRCLmNUafwM9UWp5Q64tg5FCIT6NBZnia2LyhpOZjz9THb+fSNqLkWy+1UX0dpFkTHxUnkA==" saltValue="Bo+FZqnlNbg6zsA/drcb2Q==" spinCount="100000" sheet="1" objects="1" scenarios="1"/>
  <mergeCells count="4">
    <mergeCell ref="C201:G201"/>
    <mergeCell ref="C203:G203"/>
    <mergeCell ref="A204:B204"/>
    <mergeCell ref="C205:G205"/>
  </mergeCells>
  <hyperlinks>
    <hyperlink ref="H134" r:id="rId1" xr:uid="{00000000-0004-0000-0F00-000000000000}"/>
    <hyperlink ref="H141" r:id="rId2" xr:uid="{00000000-0004-0000-0F00-000001000000}"/>
    <hyperlink ref="H135" r:id="rId3" xr:uid="{00000000-0004-0000-0F00-000002000000}"/>
    <hyperlink ref="H138" r:id="rId4" xr:uid="{00000000-0004-0000-0F00-000003000000}"/>
  </hyperlinks>
  <pageMargins left="0.7" right="0.7" top="0.75" bottom="0.75" header="0.3" footer="0.3"/>
  <pageSetup scale="40" fitToHeight="0" orientation="portrait" verticalDpi="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pageSetUpPr fitToPage="1"/>
  </sheetPr>
  <dimension ref="A4:K64"/>
  <sheetViews>
    <sheetView zoomScale="110" zoomScaleNormal="110" workbookViewId="0">
      <selection activeCell="E17" sqref="E17"/>
    </sheetView>
  </sheetViews>
  <sheetFormatPr defaultColWidth="8.85546875" defaultRowHeight="12.75" x14ac:dyDescent="0.2"/>
  <cols>
    <col min="1" max="1" width="3.140625" customWidth="1"/>
    <col min="2" max="2" width="21.28515625" customWidth="1"/>
    <col min="3" max="3" width="11.42578125" customWidth="1"/>
    <col min="4" max="4" width="14.42578125" customWidth="1"/>
    <col min="5" max="5" width="13" customWidth="1"/>
    <col min="6" max="6" width="10.42578125" customWidth="1"/>
    <col min="7" max="7" width="11.28515625" customWidth="1"/>
  </cols>
  <sheetData>
    <row r="4" spans="1:11" x14ac:dyDescent="0.2">
      <c r="K4" s="20"/>
    </row>
    <row r="5" spans="1:11" x14ac:dyDescent="0.2">
      <c r="K5" s="20"/>
    </row>
    <row r="6" spans="1:11" ht="18" x14ac:dyDescent="0.25">
      <c r="B6" s="2" t="s">
        <v>46</v>
      </c>
    </row>
    <row r="7" spans="1:11" x14ac:dyDescent="0.2">
      <c r="B7" s="17" t="s">
        <v>79</v>
      </c>
      <c r="F7" s="67"/>
    </row>
    <row r="8" spans="1:11" x14ac:dyDescent="0.2">
      <c r="B8" s="17" t="s">
        <v>228</v>
      </c>
      <c r="F8" s="242"/>
    </row>
    <row r="9" spans="1:11" x14ac:dyDescent="0.2">
      <c r="B9" s="17" t="s">
        <v>84</v>
      </c>
      <c r="F9" s="79"/>
    </row>
    <row r="11" spans="1:11" x14ac:dyDescent="0.2">
      <c r="A11" s="92"/>
      <c r="B11" s="111" t="s">
        <v>143</v>
      </c>
      <c r="C11" s="92"/>
      <c r="D11" s="92"/>
      <c r="E11" s="92"/>
      <c r="F11" s="92"/>
      <c r="G11" s="92"/>
      <c r="H11" s="92"/>
    </row>
    <row r="12" spans="1:11" x14ac:dyDescent="0.2">
      <c r="B12" s="175"/>
    </row>
    <row r="13" spans="1:11" x14ac:dyDescent="0.2">
      <c r="B13" s="175"/>
    </row>
    <row r="15" spans="1:11" x14ac:dyDescent="0.2">
      <c r="A15" s="92"/>
      <c r="B15" s="111" t="s">
        <v>331</v>
      </c>
      <c r="C15" s="92"/>
      <c r="D15" s="92"/>
      <c r="E15" s="92"/>
      <c r="F15" s="92"/>
      <c r="G15" s="92"/>
      <c r="H15" s="92"/>
    </row>
    <row r="16" spans="1:11" x14ac:dyDescent="0.2">
      <c r="B16" s="7" t="s">
        <v>47</v>
      </c>
      <c r="C16" s="7" t="s">
        <v>286</v>
      </c>
      <c r="D16" s="7" t="s">
        <v>6</v>
      </c>
      <c r="E16" s="7" t="s">
        <v>295</v>
      </c>
    </row>
    <row r="17" spans="1:10" x14ac:dyDescent="0.2">
      <c r="B17" s="52" t="s">
        <v>5</v>
      </c>
      <c r="C17" s="62">
        <v>550</v>
      </c>
      <c r="D17" s="58">
        <v>0.46</v>
      </c>
      <c r="E17" s="268">
        <f>C17/(2000*D17)</f>
        <v>0.59782608695652173</v>
      </c>
    </row>
    <row r="18" spans="1:10" x14ac:dyDescent="0.2">
      <c r="B18" s="59">
        <v>0.28000000000000003</v>
      </c>
      <c r="C18" s="62">
        <v>375</v>
      </c>
      <c r="D18" s="58">
        <v>0.28000000000000003</v>
      </c>
      <c r="E18" s="268">
        <f t="shared" ref="E18:E23" si="0">C18/(2000*D18)</f>
        <v>0.6696428571428571</v>
      </c>
      <c r="F18" s="6"/>
    </row>
    <row r="19" spans="1:10" x14ac:dyDescent="0.2">
      <c r="B19" s="59">
        <v>0.32</v>
      </c>
      <c r="C19" s="62">
        <v>425</v>
      </c>
      <c r="D19" s="58">
        <v>0.32</v>
      </c>
      <c r="E19" s="268">
        <f t="shared" si="0"/>
        <v>0.6640625</v>
      </c>
    </row>
    <row r="20" spans="1:10" x14ac:dyDescent="0.2">
      <c r="B20" s="52" t="s">
        <v>48</v>
      </c>
      <c r="C20" s="62">
        <v>757</v>
      </c>
      <c r="D20" s="58">
        <v>0.82</v>
      </c>
      <c r="E20" s="268">
        <f t="shared" si="0"/>
        <v>0.46158536585365856</v>
      </c>
    </row>
    <row r="21" spans="1:10" x14ac:dyDescent="0.2">
      <c r="B21" s="199" t="s">
        <v>54</v>
      </c>
      <c r="C21" s="62"/>
      <c r="D21" s="200">
        <v>0.44</v>
      </c>
      <c r="E21" s="268">
        <f t="shared" si="0"/>
        <v>0</v>
      </c>
    </row>
    <row r="22" spans="1:10" x14ac:dyDescent="0.2">
      <c r="B22" s="201" t="s">
        <v>324</v>
      </c>
      <c r="C22" s="62"/>
      <c r="D22" s="200">
        <v>0.46</v>
      </c>
      <c r="E22" s="268">
        <f t="shared" si="0"/>
        <v>0</v>
      </c>
    </row>
    <row r="23" spans="1:10" x14ac:dyDescent="0.2">
      <c r="B23" s="201" t="s">
        <v>404</v>
      </c>
      <c r="C23" s="62">
        <v>520</v>
      </c>
      <c r="D23" s="200">
        <v>0.21</v>
      </c>
      <c r="E23" s="268">
        <f t="shared" si="0"/>
        <v>1.2380952380952381</v>
      </c>
    </row>
    <row r="24" spans="1:10" x14ac:dyDescent="0.2">
      <c r="B24" s="5"/>
      <c r="C24" s="6"/>
      <c r="F24" s="17"/>
    </row>
    <row r="25" spans="1:10" x14ac:dyDescent="0.2">
      <c r="A25" s="97"/>
      <c r="B25" s="113" t="s">
        <v>97</v>
      </c>
      <c r="C25" s="116"/>
      <c r="D25" s="115"/>
      <c r="E25" s="97"/>
      <c r="F25" s="115"/>
      <c r="G25" s="97"/>
      <c r="H25" s="97"/>
    </row>
    <row r="26" spans="1:10" x14ac:dyDescent="0.2">
      <c r="B26" s="7" t="s">
        <v>95</v>
      </c>
      <c r="C26" s="54" t="s">
        <v>292</v>
      </c>
      <c r="D26" s="7" t="s">
        <v>294</v>
      </c>
      <c r="E26" s="7" t="s">
        <v>293</v>
      </c>
      <c r="F26" s="17"/>
    </row>
    <row r="27" spans="1:10" x14ac:dyDescent="0.2">
      <c r="B27" s="199" t="s">
        <v>96</v>
      </c>
      <c r="C27" s="124">
        <v>40</v>
      </c>
      <c r="D27" s="60">
        <v>37</v>
      </c>
      <c r="E27" s="241">
        <f>(C27/128)*D27</f>
        <v>11.5625</v>
      </c>
      <c r="F27" s="17"/>
    </row>
    <row r="28" spans="1:10" x14ac:dyDescent="0.2">
      <c r="B28" s="201"/>
      <c r="C28" s="124"/>
      <c r="D28" s="60"/>
      <c r="E28" s="241"/>
      <c r="F28" s="17"/>
      <c r="J28" s="20" t="s">
        <v>341</v>
      </c>
    </row>
    <row r="29" spans="1:10" x14ac:dyDescent="0.2">
      <c r="B29" s="201"/>
      <c r="C29" s="124"/>
      <c r="D29" s="60"/>
      <c r="E29" s="241"/>
      <c r="F29" s="17"/>
      <c r="J29" s="36" t="s">
        <v>340</v>
      </c>
    </row>
    <row r="30" spans="1:10" x14ac:dyDescent="0.2">
      <c r="B30" s="201"/>
      <c r="C30" s="124"/>
      <c r="D30" s="60"/>
      <c r="E30" s="241"/>
      <c r="F30" s="17"/>
    </row>
    <row r="31" spans="1:10" x14ac:dyDescent="0.2">
      <c r="B31" s="5"/>
      <c r="C31" s="6"/>
      <c r="F31" s="17"/>
    </row>
    <row r="32" spans="1:10" x14ac:dyDescent="0.2">
      <c r="A32" s="97"/>
      <c r="B32" s="113" t="s">
        <v>189</v>
      </c>
      <c r="C32" s="114"/>
      <c r="D32" s="97"/>
      <c r="E32" s="97"/>
      <c r="F32" s="115"/>
      <c r="G32" s="97"/>
      <c r="H32" s="97"/>
    </row>
    <row r="33" spans="2:10" ht="38.25" x14ac:dyDescent="0.2">
      <c r="B33" s="7" t="s">
        <v>64</v>
      </c>
      <c r="C33" s="54" t="s">
        <v>292</v>
      </c>
      <c r="D33" s="70" t="s">
        <v>291</v>
      </c>
      <c r="E33" s="70" t="s">
        <v>290</v>
      </c>
      <c r="F33" s="70" t="s">
        <v>289</v>
      </c>
      <c r="G33" s="70" t="s">
        <v>190</v>
      </c>
      <c r="H33" s="70" t="s">
        <v>288</v>
      </c>
    </row>
    <row r="34" spans="2:10" x14ac:dyDescent="0.2">
      <c r="B34" s="199" t="s">
        <v>65</v>
      </c>
      <c r="C34" s="202">
        <v>103</v>
      </c>
      <c r="D34" s="60">
        <v>64</v>
      </c>
      <c r="E34" s="269">
        <f>((C34/128)*D34)/2000</f>
        <v>2.5749999999999999E-2</v>
      </c>
      <c r="F34" s="203">
        <v>120</v>
      </c>
      <c r="G34" s="200">
        <v>0.46</v>
      </c>
      <c r="H34" s="269">
        <f>(F34/G34)*E34</f>
        <v>6.7173913043478262</v>
      </c>
    </row>
    <row r="35" spans="2:10" x14ac:dyDescent="0.2">
      <c r="B35" s="199"/>
      <c r="C35" s="202"/>
      <c r="D35" s="60"/>
      <c r="E35" s="270"/>
      <c r="F35" s="204"/>
      <c r="G35" s="200"/>
      <c r="H35" s="270"/>
    </row>
    <row r="36" spans="2:10" x14ac:dyDescent="0.2">
      <c r="B36" s="199"/>
      <c r="C36" s="202"/>
      <c r="D36" s="60"/>
      <c r="E36" s="270"/>
      <c r="F36" s="204"/>
      <c r="G36" s="200"/>
      <c r="H36" s="270"/>
    </row>
    <row r="37" spans="2:10" x14ac:dyDescent="0.2">
      <c r="B37" s="199"/>
      <c r="C37" s="202"/>
      <c r="D37" s="60"/>
      <c r="E37" s="270"/>
      <c r="F37" s="204"/>
      <c r="G37" s="200"/>
      <c r="H37" s="270"/>
    </row>
    <row r="38" spans="2:10" x14ac:dyDescent="0.2">
      <c r="B38" s="5"/>
      <c r="C38" s="6"/>
      <c r="F38" s="17"/>
    </row>
    <row r="39" spans="2:10" ht="26.25" x14ac:dyDescent="0.25">
      <c r="B39" s="7" t="s">
        <v>49</v>
      </c>
      <c r="C39" s="7" t="s">
        <v>286</v>
      </c>
      <c r="D39" s="61" t="s">
        <v>57</v>
      </c>
      <c r="E39" s="61" t="s">
        <v>287</v>
      </c>
      <c r="F39" s="7"/>
      <c r="G39" s="70" t="s">
        <v>62</v>
      </c>
      <c r="H39" s="70" t="s">
        <v>60</v>
      </c>
      <c r="I39" s="70" t="s">
        <v>61</v>
      </c>
    </row>
    <row r="40" spans="2:10" x14ac:dyDescent="0.2">
      <c r="B40" s="52" t="s">
        <v>50</v>
      </c>
      <c r="C40" s="62"/>
      <c r="D40" s="63">
        <v>0.52</v>
      </c>
      <c r="E40" s="268">
        <f>MAX(0,(C40-((2000*0.11)*E46))/(2000*D40))</f>
        <v>0</v>
      </c>
      <c r="F40" s="1"/>
      <c r="G40" s="60"/>
      <c r="H40" s="200">
        <v>0.11</v>
      </c>
      <c r="I40" s="271">
        <f>(G40/D40)*H40</f>
        <v>0</v>
      </c>
    </row>
    <row r="41" spans="2:10" x14ac:dyDescent="0.2">
      <c r="B41" s="52" t="s">
        <v>51</v>
      </c>
      <c r="C41" s="62">
        <v>820</v>
      </c>
      <c r="D41" s="63">
        <v>0.46</v>
      </c>
      <c r="E41" s="268">
        <f>MAX(0,(C41-((2000*0.18)*E46))/(2000*D41))</f>
        <v>0.74652173913043474</v>
      </c>
      <c r="F41" s="1"/>
      <c r="G41" s="60">
        <v>100</v>
      </c>
      <c r="H41" s="200">
        <v>0.18</v>
      </c>
      <c r="I41" s="271">
        <f>(G41/D41)*H41</f>
        <v>39.130434782608688</v>
      </c>
    </row>
    <row r="42" spans="2:10" x14ac:dyDescent="0.2">
      <c r="B42" s="52" t="s">
        <v>52</v>
      </c>
      <c r="C42" s="62">
        <v>748</v>
      </c>
      <c r="D42" s="63">
        <v>0.46</v>
      </c>
      <c r="E42" s="268">
        <f>C42/(2000*D42)</f>
        <v>0.81304347826086953</v>
      </c>
      <c r="F42" s="1"/>
      <c r="G42" s="1"/>
    </row>
    <row r="43" spans="2:10" x14ac:dyDescent="0.2">
      <c r="B43" s="52" t="s">
        <v>53</v>
      </c>
      <c r="C43" s="62">
        <v>830</v>
      </c>
      <c r="D43" s="58">
        <v>0.4</v>
      </c>
      <c r="E43" s="268">
        <f>MAX(0,(C43-((2000*0.12)*E46))/(2000*D43))</f>
        <v>0.9265000000000001</v>
      </c>
      <c r="G43" s="60"/>
      <c r="H43" s="321">
        <v>0.12</v>
      </c>
      <c r="I43" s="271">
        <f>(G43/D43)*H43</f>
        <v>0</v>
      </c>
    </row>
    <row r="44" spans="2:10" x14ac:dyDescent="0.2">
      <c r="B44" s="201" t="s">
        <v>405</v>
      </c>
      <c r="C44" s="62">
        <v>758</v>
      </c>
      <c r="D44" s="200">
        <v>0.34</v>
      </c>
      <c r="E44" s="268"/>
      <c r="F44" s="6"/>
      <c r="G44" s="206"/>
      <c r="H44" s="321"/>
      <c r="I44" s="271">
        <f>(G44/D44)*H44</f>
        <v>0</v>
      </c>
    </row>
    <row r="45" spans="2:10" x14ac:dyDescent="0.2">
      <c r="B45" s="201"/>
      <c r="C45" s="62"/>
      <c r="D45" s="200">
        <v>0.01</v>
      </c>
      <c r="E45" s="268"/>
      <c r="F45" s="6"/>
      <c r="G45" s="206"/>
      <c r="H45" s="321"/>
      <c r="I45" s="271">
        <f>(G45/D45)*H45</f>
        <v>0</v>
      </c>
    </row>
    <row r="46" spans="2:10" x14ac:dyDescent="0.2">
      <c r="B46" s="33" t="s">
        <v>245</v>
      </c>
      <c r="C46" s="64"/>
      <c r="D46" s="57"/>
      <c r="E46" s="205">
        <v>0.37</v>
      </c>
      <c r="F46" s="6"/>
      <c r="G46" s="6"/>
      <c r="I46" s="271">
        <f>SUM(I40:I45)</f>
        <v>39.130434782608688</v>
      </c>
      <c r="J46" s="20" t="s">
        <v>63</v>
      </c>
    </row>
    <row r="47" spans="2:10" x14ac:dyDescent="0.2">
      <c r="B47" s="5"/>
      <c r="C47" s="6"/>
      <c r="D47" s="6"/>
      <c r="E47" s="6"/>
      <c r="F47" s="6"/>
      <c r="G47" s="6"/>
      <c r="I47" s="269">
        <f>I46*E46</f>
        <v>14.478260869565215</v>
      </c>
      <c r="J47" s="20" t="s">
        <v>191</v>
      </c>
    </row>
    <row r="48" spans="2:10" ht="14.25" x14ac:dyDescent="0.25">
      <c r="B48" s="7" t="s">
        <v>41</v>
      </c>
      <c r="C48" s="7" t="s">
        <v>286</v>
      </c>
      <c r="D48" s="7" t="s">
        <v>58</v>
      </c>
      <c r="E48" s="7" t="s">
        <v>285</v>
      </c>
      <c r="F48" s="17"/>
      <c r="G48" s="17"/>
    </row>
    <row r="49" spans="2:6" x14ac:dyDescent="0.2">
      <c r="B49" s="52" t="s">
        <v>55</v>
      </c>
      <c r="C49" s="62">
        <v>520</v>
      </c>
      <c r="D49" s="66">
        <v>0.6</v>
      </c>
      <c r="E49" s="272">
        <f>C49/(2000*D49)</f>
        <v>0.43333333333333335</v>
      </c>
      <c r="F49" s="56"/>
    </row>
    <row r="50" spans="2:6" x14ac:dyDescent="0.2">
      <c r="B50" s="52" t="s">
        <v>56</v>
      </c>
      <c r="C50" s="62">
        <v>520</v>
      </c>
      <c r="D50" s="58">
        <v>0.62</v>
      </c>
      <c r="E50" s="268">
        <f>C50/(2000*D50)</f>
        <v>0.41935483870967744</v>
      </c>
      <c r="F50" s="12"/>
    </row>
    <row r="51" spans="2:6" x14ac:dyDescent="0.2">
      <c r="B51" s="201"/>
      <c r="C51" s="62"/>
      <c r="D51" s="200"/>
      <c r="E51" s="268" t="e">
        <f>C51/(2000*D51)</f>
        <v>#DIV/0!</v>
      </c>
      <c r="F51" s="6"/>
    </row>
    <row r="52" spans="2:6" x14ac:dyDescent="0.2">
      <c r="B52" s="201"/>
      <c r="C52" s="62"/>
      <c r="D52" s="200"/>
      <c r="E52" s="268" t="e">
        <f>C52/(2000*D52)</f>
        <v>#DIV/0!</v>
      </c>
    </row>
    <row r="54" spans="2:6" x14ac:dyDescent="0.2">
      <c r="B54" s="65"/>
    </row>
    <row r="55" spans="2:6" x14ac:dyDescent="0.2">
      <c r="B55" s="11" t="s">
        <v>73</v>
      </c>
      <c r="C55" s="1"/>
    </row>
    <row r="56" spans="2:6" x14ac:dyDescent="0.2">
      <c r="B56" s="11"/>
      <c r="C56" s="281" t="s">
        <v>284</v>
      </c>
      <c r="D56" s="7" t="s">
        <v>283</v>
      </c>
      <c r="E56" s="7" t="s">
        <v>77</v>
      </c>
      <c r="F56" s="7" t="s">
        <v>282</v>
      </c>
    </row>
    <row r="57" spans="2:6" x14ac:dyDescent="0.2">
      <c r="B57" s="52" t="s">
        <v>74</v>
      </c>
      <c r="C57" s="62">
        <v>10</v>
      </c>
      <c r="D57" s="60">
        <v>5</v>
      </c>
      <c r="E57" s="60">
        <v>4</v>
      </c>
      <c r="F57" s="269">
        <f>(C57/D57)/E57</f>
        <v>0.5</v>
      </c>
    </row>
    <row r="58" spans="2:6" x14ac:dyDescent="0.2">
      <c r="B58" s="52" t="s">
        <v>75</v>
      </c>
      <c r="C58" s="62">
        <v>20</v>
      </c>
      <c r="D58" s="60">
        <v>20</v>
      </c>
      <c r="E58" s="85">
        <v>1</v>
      </c>
      <c r="F58" s="269">
        <f t="shared" ref="F58:F63" si="1">(C58/D58)/E58</f>
        <v>1</v>
      </c>
    </row>
    <row r="59" spans="2:6" x14ac:dyDescent="0.2">
      <c r="B59" s="52" t="s">
        <v>76</v>
      </c>
      <c r="C59" s="62">
        <v>20</v>
      </c>
      <c r="D59" s="60">
        <v>20</v>
      </c>
      <c r="E59" s="85">
        <v>1</v>
      </c>
      <c r="F59" s="269">
        <f t="shared" si="1"/>
        <v>1</v>
      </c>
    </row>
    <row r="60" spans="2:6" x14ac:dyDescent="0.2">
      <c r="B60" s="60"/>
      <c r="C60" s="62"/>
      <c r="D60" s="60">
        <v>0.1</v>
      </c>
      <c r="E60" s="60">
        <v>0.1</v>
      </c>
      <c r="F60" s="269">
        <f t="shared" si="1"/>
        <v>0</v>
      </c>
    </row>
    <row r="61" spans="2:6" x14ac:dyDescent="0.2">
      <c r="B61" s="60"/>
      <c r="C61" s="62"/>
      <c r="D61" s="60">
        <v>0.1</v>
      </c>
      <c r="E61" s="60">
        <v>0.1</v>
      </c>
      <c r="F61" s="269">
        <f t="shared" si="1"/>
        <v>0</v>
      </c>
    </row>
    <row r="62" spans="2:6" x14ac:dyDescent="0.2">
      <c r="B62" s="60"/>
      <c r="C62" s="62"/>
      <c r="D62" s="60">
        <v>0.1</v>
      </c>
      <c r="E62" s="60">
        <v>0.1</v>
      </c>
      <c r="F62" s="269">
        <f t="shared" si="1"/>
        <v>0</v>
      </c>
    </row>
    <row r="63" spans="2:6" x14ac:dyDescent="0.2">
      <c r="B63" s="60"/>
      <c r="C63" s="62"/>
      <c r="D63" s="60">
        <v>0.1</v>
      </c>
      <c r="E63" s="60">
        <v>0.1</v>
      </c>
      <c r="F63" s="269">
        <f t="shared" si="1"/>
        <v>0</v>
      </c>
    </row>
    <row r="64" spans="2:6" x14ac:dyDescent="0.2">
      <c r="B64" s="17" t="s">
        <v>78</v>
      </c>
      <c r="C64" s="17"/>
      <c r="F64" s="269">
        <f>SUM(F57:F63)</f>
        <v>2.5</v>
      </c>
    </row>
  </sheetData>
  <sheetProtection algorithmName="SHA-512" hashValue="Lc3r5hzrFjZ7xPFtQUpkIOFeLoDHfpA37jPi6rdUInbKfncU0Zq3ZwLWOihQRZnopnOqka0S+4FZeuN3RIk6aQ==" saltValue="0djwaQMoWrGrZtee1Zd2bA==" spinCount="100000" sheet="1" objects="1" scenarios="1"/>
  <hyperlinks>
    <hyperlink ref="J29" r:id="rId1" xr:uid="{00000000-0004-0000-0100-000000000000}"/>
  </hyperlinks>
  <pageMargins left="0.7" right="0.7" top="0.75" bottom="0.75" header="0.3" footer="0.3"/>
  <pageSetup scale="71" fitToHeight="0" orientation="landscape"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S161"/>
  <sheetViews>
    <sheetView tabSelected="1" zoomScaleNormal="100" workbookViewId="0">
      <selection activeCell="E14" sqref="E14"/>
    </sheetView>
  </sheetViews>
  <sheetFormatPr defaultColWidth="8.42578125" defaultRowHeight="12.75" x14ac:dyDescent="0.2"/>
  <cols>
    <col min="1" max="1" width="23.42578125" customWidth="1"/>
    <col min="2" max="2" width="15.85546875" customWidth="1"/>
    <col min="3" max="3" width="15.42578125" customWidth="1"/>
    <col min="4" max="4" width="14.42578125" customWidth="1"/>
    <col min="5" max="5" width="11.28515625" customWidth="1"/>
    <col min="6" max="6" width="10.140625" customWidth="1"/>
    <col min="7" max="7" width="13.42578125" customWidth="1"/>
    <col min="8" max="9" width="7.42578125" customWidth="1"/>
    <col min="10" max="10" width="8.42578125" customWidth="1"/>
    <col min="11" max="11" width="8" customWidth="1"/>
    <col min="12" max="12" width="8.42578125" customWidth="1"/>
  </cols>
  <sheetData>
    <row r="1" spans="1:9" ht="15.75" customHeight="1" x14ac:dyDescent="0.2">
      <c r="A1" s="20" t="s">
        <v>29</v>
      </c>
      <c r="E1" s="36"/>
    </row>
    <row r="2" spans="1:9" ht="8.25" customHeight="1" x14ac:dyDescent="0.2"/>
    <row r="3" spans="1:9" ht="15" customHeight="1" x14ac:dyDescent="0.2"/>
    <row r="4" spans="1:9" ht="8.25" customHeight="1" x14ac:dyDescent="0.2"/>
    <row r="5" spans="1:9" ht="18.75" customHeight="1" x14ac:dyDescent="0.25">
      <c r="A5" s="2" t="s">
        <v>315</v>
      </c>
      <c r="D5" s="19"/>
      <c r="E5" s="34"/>
    </row>
    <row r="6" spans="1:9" ht="5.25" customHeight="1" x14ac:dyDescent="0.2"/>
    <row r="7" spans="1:9" x14ac:dyDescent="0.2">
      <c r="A7" s="17" t="s">
        <v>83</v>
      </c>
      <c r="E7" s="67"/>
      <c r="I7" s="38"/>
    </row>
    <row r="8" spans="1:9" x14ac:dyDescent="0.2">
      <c r="A8" s="17" t="s">
        <v>228</v>
      </c>
      <c r="E8" s="242"/>
    </row>
    <row r="9" spans="1:9" x14ac:dyDescent="0.2">
      <c r="A9" s="17" t="s">
        <v>71</v>
      </c>
      <c r="E9" s="79"/>
    </row>
    <row r="10" spans="1:9" x14ac:dyDescent="0.2">
      <c r="A10" s="17"/>
      <c r="C10" s="3"/>
    </row>
    <row r="11" spans="1:9" ht="20.100000000000001" customHeight="1" x14ac:dyDescent="0.25">
      <c r="A11" s="2" t="s">
        <v>343</v>
      </c>
      <c r="B11" s="352" t="s">
        <v>416</v>
      </c>
      <c r="C11" s="353"/>
      <c r="D11" s="20"/>
    </row>
    <row r="12" spans="1:9" x14ac:dyDescent="0.2">
      <c r="A12" s="119" t="s">
        <v>37</v>
      </c>
      <c r="B12" s="117"/>
      <c r="C12" s="118"/>
      <c r="D12" s="117"/>
      <c r="E12" s="117"/>
      <c r="F12" s="92"/>
    </row>
    <row r="13" spans="1:9" x14ac:dyDescent="0.2">
      <c r="A13" s="17"/>
      <c r="C13" s="54" t="s">
        <v>234</v>
      </c>
      <c r="D13" s="7" t="s">
        <v>235</v>
      </c>
      <c r="E13" s="17" t="s">
        <v>236</v>
      </c>
    </row>
    <row r="14" spans="1:9" x14ac:dyDescent="0.2">
      <c r="A14" s="20" t="s">
        <v>38</v>
      </c>
      <c r="C14" s="68">
        <v>176</v>
      </c>
      <c r="D14" s="124">
        <v>4.1100000000000003</v>
      </c>
      <c r="E14" s="241">
        <f>C14*D14</f>
        <v>723.36</v>
      </c>
    </row>
    <row r="15" spans="1:9" x14ac:dyDescent="0.2">
      <c r="A15" s="20" t="s">
        <v>248</v>
      </c>
      <c r="C15" s="3"/>
      <c r="E15" s="171">
        <v>0</v>
      </c>
    </row>
    <row r="16" spans="1:9" x14ac:dyDescent="0.2">
      <c r="A16" s="152" t="s">
        <v>199</v>
      </c>
      <c r="B16" s="159"/>
      <c r="C16" s="157"/>
      <c r="D16" s="159"/>
      <c r="E16" s="243">
        <f>E14+E15</f>
        <v>723.36</v>
      </c>
    </row>
    <row r="17" spans="1:18" x14ac:dyDescent="0.2">
      <c r="A17" s="119" t="s">
        <v>40</v>
      </c>
      <c r="B17" s="120"/>
      <c r="C17" s="121"/>
      <c r="D17" s="120"/>
      <c r="E17" s="120"/>
      <c r="F17" s="122"/>
    </row>
    <row r="18" spans="1:18" ht="12" customHeight="1" x14ac:dyDescent="0.2">
      <c r="A18" s="17"/>
      <c r="B18" s="4"/>
      <c r="C18" s="3"/>
      <c r="D18" s="4"/>
      <c r="E18" s="4"/>
    </row>
    <row r="19" spans="1:18" x14ac:dyDescent="0.2">
      <c r="A19" s="111" t="s">
        <v>4</v>
      </c>
      <c r="B19" s="92"/>
      <c r="C19" s="112"/>
      <c r="D19" s="112"/>
      <c r="E19" s="112"/>
      <c r="F19" s="92"/>
    </row>
    <row r="20" spans="1:18" ht="15" customHeight="1" x14ac:dyDescent="0.2">
      <c r="A20" s="98" t="s">
        <v>88</v>
      </c>
      <c r="B20" s="99"/>
      <c r="C20" s="100"/>
      <c r="D20" s="100"/>
      <c r="E20" s="100"/>
      <c r="F20" s="97"/>
      <c r="H20" s="17"/>
      <c r="J20" s="17"/>
      <c r="M20" s="20"/>
    </row>
    <row r="21" spans="1:18" x14ac:dyDescent="0.2">
      <c r="A21" s="33"/>
      <c r="B21" s="7" t="s">
        <v>237</v>
      </c>
      <c r="C21" s="7" t="s">
        <v>238</v>
      </c>
      <c r="D21" s="7" t="s">
        <v>239</v>
      </c>
      <c r="E21" s="54" t="s">
        <v>240</v>
      </c>
      <c r="G21" s="65"/>
      <c r="H21" s="17"/>
      <c r="J21" s="17"/>
      <c r="K21" s="17"/>
      <c r="M21" s="20"/>
    </row>
    <row r="22" spans="1:18" x14ac:dyDescent="0.2">
      <c r="A22" s="39" t="s">
        <v>303</v>
      </c>
      <c r="B22" s="207">
        <v>11.65</v>
      </c>
      <c r="C22" s="78">
        <v>5</v>
      </c>
      <c r="D22" s="90">
        <v>758</v>
      </c>
      <c r="E22" s="244">
        <f>((D22/2000)*B22*C22)</f>
        <v>22.076750000000001</v>
      </c>
      <c r="G22" s="48"/>
      <c r="H22" s="6"/>
      <c r="I22" s="48"/>
      <c r="J22" s="6"/>
      <c r="O22" s="20"/>
      <c r="P22" s="20"/>
      <c r="Q22" s="20"/>
      <c r="R22" s="20"/>
    </row>
    <row r="23" spans="1:18" x14ac:dyDescent="0.2">
      <c r="A23" s="39"/>
      <c r="B23" s="40"/>
      <c r="C23" s="47"/>
      <c r="D23" s="10"/>
      <c r="E23" s="46"/>
      <c r="G23" s="48"/>
      <c r="H23" s="6"/>
      <c r="I23" s="48"/>
      <c r="J23" s="6"/>
      <c r="O23" s="20"/>
      <c r="P23" s="20"/>
      <c r="Q23" s="20"/>
      <c r="R23" s="20"/>
    </row>
    <row r="24" spans="1:18" x14ac:dyDescent="0.2">
      <c r="A24" s="33"/>
      <c r="C24" s="7" t="s">
        <v>241</v>
      </c>
      <c r="D24" s="7" t="s">
        <v>239</v>
      </c>
      <c r="E24" s="54" t="s">
        <v>240</v>
      </c>
      <c r="G24" s="65"/>
      <c r="H24" s="17"/>
      <c r="J24" s="17"/>
      <c r="K24" s="17"/>
      <c r="M24" s="20"/>
    </row>
    <row r="25" spans="1:18" x14ac:dyDescent="0.2">
      <c r="A25" s="208" t="s">
        <v>33</v>
      </c>
      <c r="B25" s="4"/>
      <c r="C25" s="68">
        <v>0</v>
      </c>
      <c r="D25" s="90">
        <v>635</v>
      </c>
      <c r="E25" s="245">
        <f>C25*(D25/2000)</f>
        <v>0</v>
      </c>
      <c r="G25" s="5"/>
      <c r="H25" s="1"/>
      <c r="J25" s="56"/>
    </row>
    <row r="26" spans="1:18" x14ac:dyDescent="0.2">
      <c r="A26" s="208" t="s">
        <v>66</v>
      </c>
      <c r="B26" s="4"/>
      <c r="C26" s="77"/>
      <c r="D26" s="90">
        <v>0</v>
      </c>
      <c r="E26" s="246">
        <f>C26*(D26/2000)</f>
        <v>0</v>
      </c>
      <c r="G26" s="5"/>
      <c r="H26" s="1"/>
      <c r="J26" s="56"/>
    </row>
    <row r="27" spans="1:18" x14ac:dyDescent="0.2">
      <c r="A27" s="209" t="s">
        <v>66</v>
      </c>
      <c r="B27" s="4"/>
      <c r="C27" s="77"/>
      <c r="D27" s="193">
        <v>0</v>
      </c>
      <c r="E27" s="246">
        <f>C27*(D27/2000)</f>
        <v>0</v>
      </c>
      <c r="G27" s="5"/>
      <c r="H27" s="1"/>
      <c r="J27" s="56"/>
    </row>
    <row r="28" spans="1:18" x14ac:dyDescent="0.2">
      <c r="A28" s="208"/>
      <c r="B28" s="4"/>
      <c r="C28" s="68"/>
      <c r="D28" s="90">
        <v>0</v>
      </c>
      <c r="E28" s="245">
        <f>C28*(D28/2000)</f>
        <v>0</v>
      </c>
      <c r="G28" s="5"/>
      <c r="H28" s="1"/>
      <c r="J28" s="56"/>
    </row>
    <row r="29" spans="1:18" x14ac:dyDescent="0.2">
      <c r="A29" s="94"/>
      <c r="B29" s="4"/>
      <c r="C29" s="42"/>
      <c r="D29" s="93"/>
      <c r="E29" s="93"/>
      <c r="G29" s="5"/>
      <c r="H29" s="1"/>
      <c r="J29" s="56"/>
    </row>
    <row r="30" spans="1:18" ht="14.25" customHeight="1" x14ac:dyDescent="0.2">
      <c r="A30" s="95" t="s">
        <v>135</v>
      </c>
      <c r="B30" s="96"/>
      <c r="C30" s="160"/>
      <c r="D30" s="161"/>
      <c r="E30" s="161"/>
      <c r="F30" s="97"/>
    </row>
    <row r="31" spans="1:18" ht="14.25" customHeight="1" x14ac:dyDescent="0.2">
      <c r="A31" s="48" t="s">
        <v>305</v>
      </c>
      <c r="C31" s="219" t="s">
        <v>242</v>
      </c>
      <c r="D31" s="7" t="s">
        <v>243</v>
      </c>
      <c r="E31" s="54" t="s">
        <v>240</v>
      </c>
    </row>
    <row r="32" spans="1:18" ht="14.25" customHeight="1" x14ac:dyDescent="0.2">
      <c r="A32" s="201" t="s">
        <v>14</v>
      </c>
      <c r="B32" s="40"/>
      <c r="C32" s="68">
        <v>140</v>
      </c>
      <c r="D32" s="90">
        <v>0.6</v>
      </c>
      <c r="E32" s="245">
        <f>C32*D32</f>
        <v>84</v>
      </c>
    </row>
    <row r="33" spans="1:12" ht="14.25" customHeight="1" x14ac:dyDescent="0.2">
      <c r="A33" s="220" t="s">
        <v>15</v>
      </c>
      <c r="B33" s="4"/>
      <c r="C33" s="68"/>
      <c r="D33" s="90">
        <v>0</v>
      </c>
      <c r="E33" s="245">
        <f t="shared" ref="E33:E35" si="0">C33*D33</f>
        <v>0</v>
      </c>
    </row>
    <row r="34" spans="1:12" ht="13.5" customHeight="1" x14ac:dyDescent="0.2">
      <c r="A34" s="220" t="s">
        <v>16</v>
      </c>
      <c r="B34" s="4"/>
      <c r="C34" s="68"/>
      <c r="D34" s="90">
        <v>0</v>
      </c>
      <c r="E34" s="245">
        <f t="shared" si="0"/>
        <v>0</v>
      </c>
      <c r="G34" s="72"/>
      <c r="H34" s="16"/>
      <c r="I34" s="16"/>
      <c r="J34" s="7"/>
      <c r="K34" s="17"/>
      <c r="L34" s="17"/>
    </row>
    <row r="35" spans="1:12" ht="14.25" customHeight="1" x14ac:dyDescent="0.2">
      <c r="A35" s="221" t="s">
        <v>17</v>
      </c>
      <c r="B35" s="4"/>
      <c r="C35" s="68"/>
      <c r="D35" s="90">
        <v>0</v>
      </c>
      <c r="E35" s="246">
        <f t="shared" si="0"/>
        <v>0</v>
      </c>
      <c r="G35" s="5"/>
      <c r="H35" s="6"/>
      <c r="I35" s="6"/>
      <c r="J35" s="6"/>
      <c r="K35" s="6"/>
    </row>
    <row r="36" spans="1:12" ht="14.25" customHeight="1" x14ac:dyDescent="0.2">
      <c r="A36" s="199" t="s">
        <v>280</v>
      </c>
      <c r="B36" s="4"/>
      <c r="C36" s="42"/>
      <c r="D36" s="93"/>
      <c r="E36" s="210">
        <v>0</v>
      </c>
      <c r="G36" s="5"/>
      <c r="H36" s="6"/>
      <c r="I36" s="6"/>
      <c r="J36" s="6"/>
      <c r="K36" s="6"/>
    </row>
    <row r="37" spans="1:12" ht="14.25" customHeight="1" x14ac:dyDescent="0.2">
      <c r="A37" s="82" t="s">
        <v>136</v>
      </c>
      <c r="B37" s="81"/>
      <c r="C37" s="42"/>
      <c r="D37" s="93"/>
      <c r="E37" s="217">
        <v>0</v>
      </c>
      <c r="G37" s="5"/>
      <c r="H37" s="6"/>
      <c r="I37" s="6"/>
      <c r="J37" s="6"/>
      <c r="K37" s="6"/>
    </row>
    <row r="38" spans="1:12" ht="14.25" x14ac:dyDescent="0.25">
      <c r="A38" s="32"/>
      <c r="B38" s="4"/>
      <c r="C38" s="7" t="s">
        <v>193</v>
      </c>
      <c r="D38" s="223" t="s">
        <v>265</v>
      </c>
      <c r="E38" s="46"/>
      <c r="G38" s="65"/>
      <c r="I38" s="6"/>
    </row>
    <row r="39" spans="1:12" x14ac:dyDescent="0.2">
      <c r="A39" s="94" t="s">
        <v>192</v>
      </c>
      <c r="C39" s="68">
        <v>45</v>
      </c>
      <c r="D39" s="210">
        <v>0.81</v>
      </c>
      <c r="E39" s="247">
        <f t="shared" ref="E39" si="1">C39*D39</f>
        <v>36.450000000000003</v>
      </c>
      <c r="G39" s="48"/>
      <c r="H39" s="6"/>
    </row>
    <row r="40" spans="1:12" ht="14.25" customHeight="1" x14ac:dyDescent="0.25">
      <c r="A40" s="39"/>
      <c r="B40" s="4"/>
      <c r="C40" s="7" t="s">
        <v>194</v>
      </c>
      <c r="D40" s="223" t="s">
        <v>264</v>
      </c>
      <c r="E40" s="46"/>
      <c r="G40" s="5"/>
      <c r="H40" s="6"/>
      <c r="K40" s="17"/>
    </row>
    <row r="41" spans="1:12" ht="14.25" customHeight="1" x14ac:dyDescent="0.2">
      <c r="A41" s="222" t="s">
        <v>13</v>
      </c>
      <c r="C41" s="68">
        <v>50</v>
      </c>
      <c r="D41" s="90">
        <v>0.43</v>
      </c>
      <c r="E41" s="245">
        <f>C41*D41</f>
        <v>21.5</v>
      </c>
      <c r="G41" s="72"/>
      <c r="H41" s="16"/>
      <c r="I41" s="73"/>
      <c r="J41" s="73"/>
      <c r="K41" s="7"/>
      <c r="L41" s="7"/>
    </row>
    <row r="42" spans="1:12" ht="14.25" customHeight="1" x14ac:dyDescent="0.2">
      <c r="C42" s="12"/>
      <c r="G42" s="5"/>
      <c r="H42" s="1"/>
      <c r="I42" s="1"/>
      <c r="J42" s="1"/>
      <c r="K42" s="1"/>
      <c r="L42" s="1"/>
    </row>
    <row r="43" spans="1:12" ht="14.25" customHeight="1" x14ac:dyDescent="0.2">
      <c r="A43" s="199" t="s">
        <v>133</v>
      </c>
      <c r="B43" s="4"/>
      <c r="C43" s="9"/>
      <c r="D43" s="10"/>
      <c r="E43" s="90">
        <v>0</v>
      </c>
      <c r="G43" s="5"/>
      <c r="H43" s="6"/>
      <c r="I43" s="6"/>
      <c r="J43" s="6"/>
      <c r="K43" s="6"/>
      <c r="L43" s="6"/>
    </row>
    <row r="44" spans="1:12" ht="14.25" customHeight="1" x14ac:dyDescent="0.2">
      <c r="A44" s="166"/>
      <c r="B44" s="4"/>
      <c r="C44" s="9"/>
      <c r="D44" s="10"/>
      <c r="E44" s="102"/>
      <c r="G44" s="5"/>
      <c r="H44" s="6"/>
      <c r="I44" s="6"/>
      <c r="J44" s="6"/>
      <c r="K44" s="6"/>
      <c r="L44" s="6"/>
    </row>
    <row r="45" spans="1:12" ht="14.25" customHeight="1" x14ac:dyDescent="0.2">
      <c r="A45" s="199" t="s">
        <v>7</v>
      </c>
      <c r="B45" s="4"/>
      <c r="C45" s="9"/>
      <c r="D45" s="10"/>
      <c r="E45" s="90">
        <v>0</v>
      </c>
      <c r="G45" s="5"/>
      <c r="H45" s="6"/>
      <c r="I45" s="6"/>
      <c r="J45" s="6"/>
      <c r="K45" s="6"/>
      <c r="L45" s="6"/>
    </row>
    <row r="46" spans="1:12" ht="14.25" customHeight="1" x14ac:dyDescent="0.2">
      <c r="A46" s="199"/>
      <c r="B46" s="4"/>
      <c r="C46" s="9"/>
      <c r="D46" s="10"/>
      <c r="E46" s="90">
        <v>0</v>
      </c>
      <c r="G46" s="5"/>
      <c r="H46" s="6"/>
      <c r="I46" s="6"/>
      <c r="J46" s="6"/>
      <c r="K46" s="6"/>
      <c r="L46" s="6"/>
    </row>
    <row r="47" spans="1:12" ht="14.25" customHeight="1" x14ac:dyDescent="0.2">
      <c r="A47" s="199"/>
      <c r="B47" s="4"/>
      <c r="C47" s="9"/>
      <c r="D47" s="10"/>
      <c r="E47" s="90">
        <v>0</v>
      </c>
      <c r="G47" s="5"/>
      <c r="H47" s="6"/>
      <c r="I47" s="6"/>
      <c r="J47" s="6"/>
      <c r="K47" s="6"/>
      <c r="L47" s="6"/>
    </row>
    <row r="48" spans="1:12" ht="14.25" customHeight="1" x14ac:dyDescent="0.2">
      <c r="A48" s="33" t="s">
        <v>247</v>
      </c>
      <c r="B48" s="101"/>
      <c r="C48" s="219" t="s">
        <v>188</v>
      </c>
      <c r="D48" s="54" t="s">
        <v>255</v>
      </c>
      <c r="E48" s="10"/>
      <c r="G48" s="5"/>
      <c r="H48" s="6"/>
      <c r="I48" s="6"/>
      <c r="J48" s="6"/>
      <c r="K48" s="6"/>
      <c r="L48" s="6"/>
    </row>
    <row r="49" spans="1:12" ht="14.25" customHeight="1" x14ac:dyDescent="0.2">
      <c r="A49" s="199" t="s">
        <v>89</v>
      </c>
      <c r="B49" s="4"/>
      <c r="C49" s="68">
        <v>1</v>
      </c>
      <c r="D49" s="90">
        <v>9</v>
      </c>
      <c r="E49" s="245">
        <f>D49*C49</f>
        <v>9</v>
      </c>
      <c r="G49" s="5"/>
      <c r="H49" s="6"/>
      <c r="I49" s="6"/>
      <c r="J49" s="6"/>
      <c r="K49" s="6"/>
      <c r="L49" s="6"/>
    </row>
    <row r="50" spans="1:12" ht="14.25" customHeight="1" x14ac:dyDescent="0.2">
      <c r="A50" s="199"/>
      <c r="B50" s="4"/>
      <c r="C50" s="68"/>
      <c r="D50" s="90">
        <v>0</v>
      </c>
      <c r="E50" s="245">
        <f t="shared" ref="E50:E51" si="2">D50*C50</f>
        <v>0</v>
      </c>
      <c r="G50" s="5"/>
      <c r="H50" s="6"/>
      <c r="I50" s="6"/>
      <c r="J50" s="6"/>
      <c r="K50" s="6"/>
      <c r="L50" s="6"/>
    </row>
    <row r="51" spans="1:12" ht="14.25" customHeight="1" x14ac:dyDescent="0.2">
      <c r="A51" s="199" t="s">
        <v>90</v>
      </c>
      <c r="B51" s="4"/>
      <c r="C51" s="68"/>
      <c r="D51" s="90">
        <v>0</v>
      </c>
      <c r="E51" s="245">
        <f t="shared" si="2"/>
        <v>0</v>
      </c>
      <c r="G51" s="5"/>
      <c r="H51" s="6"/>
      <c r="I51" s="6"/>
      <c r="J51" s="6"/>
      <c r="K51" s="6"/>
      <c r="L51" s="6"/>
    </row>
    <row r="52" spans="1:12" ht="14.25" customHeight="1" x14ac:dyDescent="0.2">
      <c r="A52" s="33"/>
      <c r="B52" s="4"/>
      <c r="C52" s="9"/>
      <c r="D52" s="10"/>
      <c r="E52" s="10"/>
      <c r="G52" s="5"/>
      <c r="H52" s="6"/>
      <c r="I52" s="6"/>
      <c r="J52" s="6"/>
      <c r="K52" s="6"/>
      <c r="L52" s="6"/>
    </row>
    <row r="53" spans="1:12" x14ac:dyDescent="0.2">
      <c r="B53" s="7" t="s">
        <v>195</v>
      </c>
      <c r="C53" s="7" t="s">
        <v>263</v>
      </c>
      <c r="D53" s="54" t="s">
        <v>239</v>
      </c>
      <c r="E53" s="54" t="s">
        <v>240</v>
      </c>
    </row>
    <row r="54" spans="1:12" x14ac:dyDescent="0.2">
      <c r="A54" s="33" t="s">
        <v>244</v>
      </c>
      <c r="B54" s="211">
        <v>1</v>
      </c>
      <c r="C54" s="69">
        <v>0</v>
      </c>
      <c r="D54" s="124">
        <v>0</v>
      </c>
      <c r="E54" s="245">
        <f>(D54*C54)/B54</f>
        <v>0</v>
      </c>
      <c r="H54" s="80"/>
    </row>
    <row r="55" spans="1:12" x14ac:dyDescent="0.2">
      <c r="A55" s="15"/>
      <c r="B55" s="40"/>
      <c r="C55" s="125"/>
      <c r="D55" s="54" t="s">
        <v>240</v>
      </c>
      <c r="E55" s="102"/>
      <c r="H55" s="80"/>
    </row>
    <row r="56" spans="1:12" x14ac:dyDescent="0.2">
      <c r="A56" s="33" t="s">
        <v>98</v>
      </c>
      <c r="B56" s="4"/>
      <c r="C56" s="123"/>
      <c r="D56" s="124">
        <v>0</v>
      </c>
      <c r="E56" s="245">
        <f>D56/B54</f>
        <v>0</v>
      </c>
      <c r="H56" s="80"/>
    </row>
    <row r="57" spans="1:12" x14ac:dyDescent="0.2">
      <c r="A57" s="15"/>
      <c r="B57" s="84"/>
      <c r="C57" s="20"/>
      <c r="D57" s="1"/>
      <c r="E57" s="54" t="s">
        <v>240</v>
      </c>
      <c r="H57" s="80"/>
    </row>
    <row r="58" spans="1:12" x14ac:dyDescent="0.2">
      <c r="A58" s="152" t="s">
        <v>197</v>
      </c>
      <c r="B58" s="159"/>
      <c r="C58" s="159"/>
      <c r="D58" s="159"/>
      <c r="E58" s="243">
        <f>SUM(E22:E57)</f>
        <v>173.02674999999999</v>
      </c>
      <c r="G58" s="33"/>
      <c r="H58" s="33"/>
    </row>
    <row r="59" spans="1:12" x14ac:dyDescent="0.2">
      <c r="A59" s="111" t="s">
        <v>94</v>
      </c>
      <c r="B59" s="92"/>
      <c r="C59" s="92"/>
      <c r="D59" s="92"/>
      <c r="E59" s="92"/>
      <c r="F59" s="92"/>
      <c r="G59" s="33"/>
      <c r="H59" s="33"/>
    </row>
    <row r="60" spans="1:12" x14ac:dyDescent="0.2">
      <c r="A60" s="18"/>
      <c r="B60" s="4"/>
      <c r="C60" s="54" t="s">
        <v>259</v>
      </c>
      <c r="D60" s="54" t="s">
        <v>281</v>
      </c>
      <c r="E60" s="54" t="s">
        <v>240</v>
      </c>
      <c r="G60" s="33"/>
      <c r="H60" s="33"/>
    </row>
    <row r="61" spans="1:12" x14ac:dyDescent="0.2">
      <c r="A61" s="5" t="s">
        <v>1</v>
      </c>
      <c r="B61" s="40"/>
      <c r="C61" s="212">
        <v>35000</v>
      </c>
      <c r="D61" s="169">
        <v>235</v>
      </c>
      <c r="E61" s="245">
        <f>+D61*(C61/80000)</f>
        <v>102.8125</v>
      </c>
      <c r="G61" s="33"/>
      <c r="H61" s="33"/>
    </row>
    <row r="62" spans="1:12" x14ac:dyDescent="0.2">
      <c r="A62" s="5"/>
      <c r="B62" s="5"/>
      <c r="C62" s="7" t="s">
        <v>260</v>
      </c>
      <c r="D62" s="54" t="s">
        <v>261</v>
      </c>
      <c r="E62" s="54" t="s">
        <v>240</v>
      </c>
    </row>
    <row r="63" spans="1:12" x14ac:dyDescent="0.2">
      <c r="A63" s="48" t="s">
        <v>81</v>
      </c>
      <c r="B63" s="48"/>
      <c r="C63" s="216">
        <v>25</v>
      </c>
      <c r="D63" s="170">
        <v>1.5</v>
      </c>
      <c r="E63" s="324">
        <f>D63*C63</f>
        <v>37.5</v>
      </c>
    </row>
    <row r="64" spans="1:12" x14ac:dyDescent="0.2">
      <c r="A64" s="48"/>
      <c r="B64" s="48"/>
      <c r="C64" s="325" t="s">
        <v>298</v>
      </c>
      <c r="D64" s="326" t="s">
        <v>261</v>
      </c>
      <c r="E64" s="227" t="s">
        <v>240</v>
      </c>
    </row>
    <row r="65" spans="1:8" x14ac:dyDescent="0.2">
      <c r="A65" s="48" t="s">
        <v>81</v>
      </c>
      <c r="B65" s="48"/>
      <c r="C65" s="167"/>
      <c r="D65" s="169"/>
      <c r="E65" s="324">
        <f>D65*C65</f>
        <v>0</v>
      </c>
    </row>
    <row r="66" spans="1:8" x14ac:dyDescent="0.2">
      <c r="A66" s="146" t="s">
        <v>196</v>
      </c>
      <c r="B66" s="153"/>
      <c r="C66" s="158"/>
      <c r="D66" s="157"/>
      <c r="E66" s="249">
        <f>E61+E63+E65</f>
        <v>140.3125</v>
      </c>
    </row>
    <row r="67" spans="1:8" x14ac:dyDescent="0.2">
      <c r="A67" s="110" t="s">
        <v>92</v>
      </c>
      <c r="B67" s="106"/>
      <c r="C67" s="107"/>
      <c r="D67" s="108"/>
      <c r="E67" s="145"/>
      <c r="F67" s="92"/>
    </row>
    <row r="68" spans="1:8" x14ac:dyDescent="0.2">
      <c r="A68" s="65" t="s">
        <v>2</v>
      </c>
      <c r="B68" s="4"/>
      <c r="C68" s="162"/>
      <c r="D68" s="83"/>
      <c r="E68" s="54" t="s">
        <v>240</v>
      </c>
      <c r="G68" s="31"/>
      <c r="H68" s="31"/>
    </row>
    <row r="69" spans="1:8" x14ac:dyDescent="0.2">
      <c r="A69" s="33" t="s">
        <v>126</v>
      </c>
      <c r="B69" s="4"/>
      <c r="C69" s="162"/>
      <c r="D69" s="83"/>
      <c r="E69" s="213"/>
      <c r="G69" s="31"/>
      <c r="H69" s="31"/>
    </row>
    <row r="70" spans="1:8" x14ac:dyDescent="0.2">
      <c r="A70" s="40" t="s">
        <v>99</v>
      </c>
      <c r="B70" s="4"/>
      <c r="C70" s="162"/>
      <c r="D70" s="83"/>
      <c r="E70" s="90"/>
      <c r="G70" s="31"/>
      <c r="H70" s="31"/>
    </row>
    <row r="71" spans="1:8" x14ac:dyDescent="0.2">
      <c r="A71" s="33" t="s">
        <v>127</v>
      </c>
      <c r="B71" s="4"/>
      <c r="C71" s="9"/>
      <c r="D71" s="163"/>
      <c r="E71" s="90"/>
      <c r="G71" s="31"/>
      <c r="H71" s="31"/>
    </row>
    <row r="72" spans="1:8" x14ac:dyDescent="0.2">
      <c r="A72" s="40" t="s">
        <v>99</v>
      </c>
      <c r="B72" s="4"/>
      <c r="C72" s="9"/>
      <c r="D72" s="163"/>
      <c r="E72" s="90"/>
      <c r="G72" s="31"/>
      <c r="H72" s="31"/>
    </row>
    <row r="73" spans="1:8" x14ac:dyDescent="0.2">
      <c r="A73" s="33" t="s">
        <v>128</v>
      </c>
      <c r="B73" s="4"/>
      <c r="C73" s="9"/>
      <c r="D73" s="163"/>
      <c r="E73" s="350">
        <v>35</v>
      </c>
      <c r="G73" s="31"/>
      <c r="H73" s="31"/>
    </row>
    <row r="74" spans="1:8" x14ac:dyDescent="0.2">
      <c r="A74" s="40" t="s">
        <v>99</v>
      </c>
      <c r="B74" s="4"/>
      <c r="C74" s="9"/>
      <c r="D74" s="163"/>
      <c r="E74" s="350">
        <v>9</v>
      </c>
      <c r="G74" s="31"/>
      <c r="H74" s="31"/>
    </row>
    <row r="75" spans="1:8" x14ac:dyDescent="0.2">
      <c r="A75" s="143" t="s">
        <v>129</v>
      </c>
      <c r="B75" s="3"/>
      <c r="C75" s="42"/>
      <c r="D75" s="164"/>
      <c r="E75" s="90"/>
      <c r="G75" s="30"/>
      <c r="H75" s="30"/>
    </row>
    <row r="76" spans="1:8" x14ac:dyDescent="0.2">
      <c r="A76" s="37" t="s">
        <v>99</v>
      </c>
      <c r="B76" s="3"/>
      <c r="C76" s="42"/>
      <c r="D76" s="164"/>
      <c r="E76" s="90"/>
      <c r="G76" s="20"/>
      <c r="H76" s="20"/>
    </row>
    <row r="77" spans="1:8" x14ac:dyDescent="0.2">
      <c r="A77" s="65" t="s">
        <v>8</v>
      </c>
      <c r="B77" s="4"/>
      <c r="C77" s="9"/>
      <c r="D77" s="3"/>
      <c r="E77" s="169"/>
    </row>
    <row r="78" spans="1:8" x14ac:dyDescent="0.2">
      <c r="A78" s="33" t="s">
        <v>130</v>
      </c>
      <c r="B78" s="4"/>
      <c r="C78" s="9"/>
      <c r="D78" s="3"/>
      <c r="E78" s="169"/>
    </row>
    <row r="79" spans="1:8" x14ac:dyDescent="0.2">
      <c r="A79" s="40" t="s">
        <v>99</v>
      </c>
      <c r="B79" s="4"/>
      <c r="C79" s="9"/>
      <c r="D79" s="3"/>
      <c r="E79" s="169"/>
    </row>
    <row r="80" spans="1:8" x14ac:dyDescent="0.2">
      <c r="A80" s="143" t="s">
        <v>131</v>
      </c>
      <c r="B80" s="3"/>
      <c r="C80" s="42"/>
      <c r="D80" s="164"/>
      <c r="E80" s="90"/>
    </row>
    <row r="81" spans="1:8" x14ac:dyDescent="0.2">
      <c r="A81" s="37" t="s">
        <v>99</v>
      </c>
      <c r="B81" s="3"/>
      <c r="C81" s="42"/>
      <c r="D81" s="164"/>
      <c r="E81" s="90"/>
    </row>
    <row r="82" spans="1:8" x14ac:dyDescent="0.2">
      <c r="A82" s="65" t="s">
        <v>12</v>
      </c>
      <c r="B82" s="4"/>
      <c r="C82" s="9"/>
      <c r="D82" s="3"/>
      <c r="E82" s="169"/>
    </row>
    <row r="83" spans="1:8" ht="13.5" customHeight="1" x14ac:dyDescent="0.2">
      <c r="A83" s="143" t="s">
        <v>132</v>
      </c>
      <c r="B83" s="3"/>
      <c r="C83" s="42"/>
      <c r="D83" s="164"/>
      <c r="E83" s="90"/>
      <c r="H83" s="20"/>
    </row>
    <row r="84" spans="1:8" x14ac:dyDescent="0.2">
      <c r="A84" s="37" t="s">
        <v>99</v>
      </c>
      <c r="B84" s="3"/>
      <c r="C84" s="42"/>
      <c r="D84" s="164"/>
      <c r="E84" s="90"/>
    </row>
    <row r="85" spans="1:8" x14ac:dyDescent="0.2">
      <c r="A85" s="143" t="s">
        <v>30</v>
      </c>
      <c r="B85" s="3"/>
      <c r="C85" s="42"/>
      <c r="D85" s="164"/>
      <c r="E85" s="90"/>
    </row>
    <row r="86" spans="1:8" x14ac:dyDescent="0.2">
      <c r="A86" s="143" t="s">
        <v>31</v>
      </c>
      <c r="B86" s="3"/>
      <c r="C86" s="42"/>
      <c r="D86" s="164"/>
      <c r="E86" s="90"/>
    </row>
    <row r="87" spans="1:8" x14ac:dyDescent="0.2">
      <c r="A87" s="156" t="s">
        <v>198</v>
      </c>
      <c r="B87" s="157"/>
      <c r="C87" s="148"/>
      <c r="D87" s="165"/>
      <c r="E87" s="250">
        <f>SUM(E69:E86)</f>
        <v>44</v>
      </c>
    </row>
    <row r="88" spans="1:8" x14ac:dyDescent="0.2">
      <c r="A88" s="131" t="s">
        <v>10</v>
      </c>
      <c r="B88" s="105"/>
      <c r="C88" s="130"/>
      <c r="D88" s="109"/>
      <c r="E88" s="109"/>
      <c r="F88" s="92"/>
    </row>
    <row r="89" spans="1:8" x14ac:dyDescent="0.2">
      <c r="A89" s="144"/>
      <c r="B89" s="3"/>
      <c r="C89" s="9"/>
      <c r="D89" s="10"/>
      <c r="E89" s="54" t="s">
        <v>240</v>
      </c>
    </row>
    <row r="90" spans="1:8" x14ac:dyDescent="0.2">
      <c r="A90" s="143" t="s">
        <v>118</v>
      </c>
      <c r="B90" s="3"/>
      <c r="C90" s="42"/>
      <c r="D90" s="43"/>
      <c r="E90" s="90"/>
    </row>
    <row r="91" spans="1:8" x14ac:dyDescent="0.2">
      <c r="A91" s="143"/>
      <c r="B91" s="3"/>
      <c r="C91" s="225" t="s">
        <v>116</v>
      </c>
      <c r="D91" s="226" t="s">
        <v>257</v>
      </c>
      <c r="E91" s="54" t="s">
        <v>240</v>
      </c>
    </row>
    <row r="92" spans="1:8" x14ac:dyDescent="0.2">
      <c r="A92" s="20" t="s">
        <v>115</v>
      </c>
      <c r="B92" s="5"/>
      <c r="C92" s="150">
        <v>0</v>
      </c>
      <c r="D92" s="151">
        <v>5.5</v>
      </c>
      <c r="E92" s="246">
        <f>+C92*D92</f>
        <v>0</v>
      </c>
    </row>
    <row r="93" spans="1:8" x14ac:dyDescent="0.2">
      <c r="A93" s="152" t="s">
        <v>200</v>
      </c>
      <c r="B93" s="153"/>
      <c r="C93" s="154"/>
      <c r="D93" s="155"/>
      <c r="E93" s="250">
        <f>E92+E90</f>
        <v>0</v>
      </c>
    </row>
    <row r="94" spans="1:8" ht="15" x14ac:dyDescent="0.25">
      <c r="A94" s="110" t="s">
        <v>93</v>
      </c>
      <c r="B94" s="103"/>
      <c r="C94" s="104"/>
      <c r="D94" s="105"/>
      <c r="E94" s="105"/>
      <c r="F94" s="92"/>
      <c r="H94" s="129"/>
    </row>
    <row r="95" spans="1:8" ht="13.5" customHeight="1" x14ac:dyDescent="0.2">
      <c r="A95" s="18"/>
      <c r="B95" s="4"/>
      <c r="C95" s="3"/>
      <c r="D95" s="3"/>
      <c r="E95" s="54" t="s">
        <v>240</v>
      </c>
    </row>
    <row r="96" spans="1:8" ht="13.5" customHeight="1" x14ac:dyDescent="0.2">
      <c r="A96" s="33" t="s">
        <v>232</v>
      </c>
      <c r="B96" s="4"/>
      <c r="C96" s="3"/>
      <c r="D96" s="3"/>
      <c r="E96" s="173">
        <v>185</v>
      </c>
    </row>
    <row r="97" spans="1:8" x14ac:dyDescent="0.2">
      <c r="A97" s="33" t="s">
        <v>28</v>
      </c>
      <c r="B97" s="4"/>
      <c r="C97" s="42"/>
      <c r="D97" s="43"/>
      <c r="E97" s="90">
        <v>30</v>
      </c>
    </row>
    <row r="98" spans="1:8" x14ac:dyDescent="0.2">
      <c r="A98" s="33" t="s">
        <v>102</v>
      </c>
      <c r="B98" s="4"/>
      <c r="C98" s="42"/>
      <c r="D98" s="43"/>
      <c r="E98" s="90">
        <v>0</v>
      </c>
    </row>
    <row r="99" spans="1:8" ht="15" x14ac:dyDescent="0.25">
      <c r="A99" s="33" t="s">
        <v>91</v>
      </c>
      <c r="B99" s="40" t="s">
        <v>233</v>
      </c>
      <c r="C99" s="42"/>
      <c r="D99" s="43"/>
      <c r="E99" s="90">
        <v>0</v>
      </c>
      <c r="H99" s="128"/>
    </row>
    <row r="100" spans="1:8" ht="15" x14ac:dyDescent="0.25">
      <c r="A100" s="33" t="s">
        <v>101</v>
      </c>
      <c r="B100" s="40"/>
      <c r="C100" s="42"/>
      <c r="D100" s="43"/>
      <c r="E100" s="193">
        <v>2.5</v>
      </c>
      <c r="H100" s="128"/>
    </row>
    <row r="101" spans="1:8" x14ac:dyDescent="0.2">
      <c r="A101" s="146" t="s">
        <v>201</v>
      </c>
      <c r="B101" s="147"/>
      <c r="C101" s="148"/>
      <c r="D101" s="149"/>
      <c r="E101" s="250">
        <f>SUM(E96:E100)</f>
        <v>217.5</v>
      </c>
    </row>
    <row r="102" spans="1:8" x14ac:dyDescent="0.2">
      <c r="A102" s="92"/>
      <c r="B102" s="103"/>
      <c r="C102" s="135"/>
      <c r="D102" s="136"/>
      <c r="E102" s="133"/>
      <c r="F102" s="92"/>
    </row>
    <row r="103" spans="1:8" x14ac:dyDescent="0.2">
      <c r="A103" s="14" t="s">
        <v>202</v>
      </c>
      <c r="B103" s="3"/>
      <c r="C103" s="9"/>
      <c r="D103" s="10"/>
      <c r="E103" s="250">
        <f>E58+E66+E87+E93+E101</f>
        <v>574.83924999999999</v>
      </c>
    </row>
    <row r="104" spans="1:8" x14ac:dyDescent="0.2">
      <c r="A104" s="14"/>
      <c r="B104" s="3"/>
      <c r="C104" s="9"/>
      <c r="D104" s="10"/>
      <c r="E104" s="126"/>
    </row>
    <row r="105" spans="1:8" x14ac:dyDescent="0.2">
      <c r="A105" s="111" t="s">
        <v>100</v>
      </c>
      <c r="B105" s="92"/>
      <c r="C105" s="127"/>
      <c r="D105" s="103"/>
      <c r="E105" s="92"/>
      <c r="F105" s="92"/>
    </row>
    <row r="106" spans="1:8" x14ac:dyDescent="0.2">
      <c r="A106" s="11" t="s">
        <v>121</v>
      </c>
      <c r="C106" s="219" t="s">
        <v>332</v>
      </c>
      <c r="D106" s="228" t="s">
        <v>255</v>
      </c>
      <c r="E106" s="54" t="s">
        <v>240</v>
      </c>
    </row>
    <row r="107" spans="1:8" x14ac:dyDescent="0.2">
      <c r="A107" s="199" t="s">
        <v>82</v>
      </c>
      <c r="B107" s="4"/>
      <c r="C107" s="68">
        <v>1</v>
      </c>
      <c r="D107" s="89">
        <v>20</v>
      </c>
      <c r="E107" s="241">
        <f>C107*D107</f>
        <v>20</v>
      </c>
    </row>
    <row r="108" spans="1:8" x14ac:dyDescent="0.2">
      <c r="A108" s="199" t="s">
        <v>9</v>
      </c>
      <c r="B108" s="4"/>
      <c r="C108" s="68">
        <v>1</v>
      </c>
      <c r="D108" s="90">
        <v>18</v>
      </c>
      <c r="E108" s="241">
        <f t="shared" ref="E108:E115" si="3">C108*D108</f>
        <v>18</v>
      </c>
    </row>
    <row r="109" spans="1:8" x14ac:dyDescent="0.2">
      <c r="A109" s="199" t="s">
        <v>402</v>
      </c>
      <c r="B109" s="4"/>
      <c r="C109" s="68">
        <v>1</v>
      </c>
      <c r="D109" s="90">
        <v>25</v>
      </c>
      <c r="E109" s="241">
        <f t="shared" si="3"/>
        <v>25</v>
      </c>
    </row>
    <row r="110" spans="1:8" x14ac:dyDescent="0.2">
      <c r="A110" s="199" t="s">
        <v>326</v>
      </c>
      <c r="B110" s="4"/>
      <c r="C110" s="68"/>
      <c r="D110" s="90">
        <v>35</v>
      </c>
      <c r="E110" s="241">
        <f t="shared" si="3"/>
        <v>0</v>
      </c>
    </row>
    <row r="111" spans="1:8" x14ac:dyDescent="0.2">
      <c r="A111" s="199"/>
      <c r="B111" s="4"/>
      <c r="C111" s="68"/>
      <c r="D111" s="90"/>
      <c r="E111" s="241">
        <f t="shared" si="3"/>
        <v>0</v>
      </c>
    </row>
    <row r="112" spans="1:8" ht="14.25" customHeight="1" x14ac:dyDescent="0.2">
      <c r="A112" s="213" t="s">
        <v>108</v>
      </c>
      <c r="B112" s="4"/>
      <c r="C112" s="68">
        <v>1</v>
      </c>
      <c r="D112" s="90">
        <v>18</v>
      </c>
      <c r="E112" s="241">
        <f t="shared" si="3"/>
        <v>18</v>
      </c>
    </row>
    <row r="113" spans="1:19" ht="14.25" customHeight="1" x14ac:dyDescent="0.2">
      <c r="A113" s="213"/>
      <c r="B113" s="4"/>
      <c r="C113" s="68"/>
      <c r="D113" s="90"/>
      <c r="E113" s="241">
        <f t="shared" si="3"/>
        <v>0</v>
      </c>
    </row>
    <row r="114" spans="1:19" ht="14.25" customHeight="1" x14ac:dyDescent="0.2">
      <c r="A114" s="213"/>
      <c r="B114" s="4"/>
      <c r="C114" s="68"/>
      <c r="D114" s="90"/>
      <c r="E114" s="241">
        <f t="shared" si="3"/>
        <v>0</v>
      </c>
      <c r="H114" s="322" t="s">
        <v>336</v>
      </c>
    </row>
    <row r="115" spans="1:19" ht="12" customHeight="1" x14ac:dyDescent="0.2">
      <c r="A115" s="213"/>
      <c r="B115" s="3"/>
      <c r="C115" s="68"/>
      <c r="D115" s="90"/>
      <c r="E115" s="241">
        <f t="shared" si="3"/>
        <v>0</v>
      </c>
      <c r="H115" s="323" t="s">
        <v>355</v>
      </c>
    </row>
    <row r="116" spans="1:19" ht="12.75" customHeight="1" x14ac:dyDescent="0.2">
      <c r="A116" s="199"/>
      <c r="B116" s="3"/>
      <c r="C116" s="68"/>
      <c r="D116" s="90"/>
      <c r="E116" s="245">
        <f>C116*D116</f>
        <v>0</v>
      </c>
    </row>
    <row r="117" spans="1:19" ht="12" customHeight="1" x14ac:dyDescent="0.2">
      <c r="A117" s="14" t="s">
        <v>225</v>
      </c>
      <c r="B117" s="3"/>
      <c r="C117" s="9"/>
      <c r="D117" s="3"/>
      <c r="E117" s="250">
        <f>SUM(E107:E116)</f>
        <v>81</v>
      </c>
      <c r="H117" s="322" t="s">
        <v>334</v>
      </c>
    </row>
    <row r="118" spans="1:19" ht="12" customHeight="1" x14ac:dyDescent="0.2">
      <c r="A118" s="8"/>
      <c r="B118" s="3"/>
      <c r="C118" s="9"/>
      <c r="D118" s="3"/>
      <c r="E118" s="126"/>
      <c r="H118" s="323" t="s">
        <v>335</v>
      </c>
    </row>
    <row r="119" spans="1:19" ht="12.75" customHeight="1" x14ac:dyDescent="0.2">
      <c r="A119" s="14" t="s">
        <v>122</v>
      </c>
      <c r="B119" s="3"/>
      <c r="C119" s="7" t="s">
        <v>332</v>
      </c>
      <c r="D119" s="7" t="s">
        <v>255</v>
      </c>
      <c r="E119" s="54" t="s">
        <v>240</v>
      </c>
      <c r="H119" s="36" t="s">
        <v>357</v>
      </c>
    </row>
    <row r="120" spans="1:19" ht="12.75" customHeight="1" x14ac:dyDescent="0.2">
      <c r="A120" s="196" t="s">
        <v>3</v>
      </c>
      <c r="B120" s="3"/>
      <c r="C120" s="68">
        <v>1</v>
      </c>
      <c r="D120" s="91">
        <v>40</v>
      </c>
      <c r="E120" s="245">
        <f>C120*D120</f>
        <v>40</v>
      </c>
    </row>
    <row r="121" spans="1:19" ht="12.75" customHeight="1" x14ac:dyDescent="0.2">
      <c r="A121" s="199" t="s">
        <v>43</v>
      </c>
      <c r="B121" s="40"/>
      <c r="C121" s="68">
        <v>0</v>
      </c>
      <c r="D121" s="91">
        <v>0</v>
      </c>
      <c r="E121" s="245">
        <f t="shared" ref="E121:E125" si="4">C121*D121</f>
        <v>0</v>
      </c>
      <c r="H121" t="s">
        <v>358</v>
      </c>
      <c r="S121" s="4"/>
    </row>
    <row r="122" spans="1:19" ht="12.75" customHeight="1" x14ac:dyDescent="0.2">
      <c r="A122" s="199" t="s">
        <v>137</v>
      </c>
      <c r="B122" s="4"/>
      <c r="C122" s="68">
        <v>0</v>
      </c>
      <c r="D122" s="91">
        <v>0</v>
      </c>
      <c r="E122" s="245">
        <f t="shared" si="4"/>
        <v>0</v>
      </c>
      <c r="H122" s="323" t="s">
        <v>359</v>
      </c>
      <c r="S122" s="4"/>
    </row>
    <row r="123" spans="1:19" ht="12.75" customHeight="1" x14ac:dyDescent="0.2">
      <c r="A123" s="199"/>
      <c r="B123" s="40"/>
      <c r="C123" s="68"/>
      <c r="D123" s="91"/>
      <c r="E123" s="245">
        <f t="shared" si="4"/>
        <v>0</v>
      </c>
      <c r="S123" s="4"/>
    </row>
    <row r="124" spans="1:19" ht="12.75" customHeight="1" x14ac:dyDescent="0.2">
      <c r="A124" s="199"/>
      <c r="B124" s="40"/>
      <c r="C124" s="68"/>
      <c r="D124" s="91"/>
      <c r="E124" s="245">
        <f t="shared" si="4"/>
        <v>0</v>
      </c>
      <c r="H124" s="322" t="s">
        <v>337</v>
      </c>
      <c r="S124" s="4"/>
    </row>
    <row r="125" spans="1:19" ht="12.75" customHeight="1" x14ac:dyDescent="0.2">
      <c r="A125" s="199"/>
      <c r="B125" s="40"/>
      <c r="C125" s="68"/>
      <c r="D125" s="90"/>
      <c r="E125" s="245">
        <f t="shared" si="4"/>
        <v>0</v>
      </c>
      <c r="H125" s="323" t="s">
        <v>338</v>
      </c>
      <c r="S125" s="4"/>
    </row>
    <row r="126" spans="1:19" ht="12.75" customHeight="1" x14ac:dyDescent="0.2">
      <c r="A126" s="11" t="s">
        <v>203</v>
      </c>
      <c r="B126" s="40"/>
      <c r="C126" s="42"/>
      <c r="D126" s="43"/>
      <c r="E126" s="250">
        <f>SUM(E120:E125)</f>
        <v>40</v>
      </c>
      <c r="S126" s="4"/>
    </row>
    <row r="127" spans="1:19" ht="12.75" customHeight="1" x14ac:dyDescent="0.2">
      <c r="A127" s="40"/>
      <c r="B127" s="40"/>
      <c r="C127" s="42"/>
      <c r="D127" s="43"/>
      <c r="E127" s="93"/>
      <c r="H127" s="322" t="s">
        <v>339</v>
      </c>
      <c r="S127" s="4"/>
    </row>
    <row r="128" spans="1:19" ht="12.75" customHeight="1" x14ac:dyDescent="0.2">
      <c r="A128" s="260" t="s">
        <v>34</v>
      </c>
      <c r="B128" s="228" t="s">
        <v>254</v>
      </c>
      <c r="C128" s="264" t="s">
        <v>124</v>
      </c>
      <c r="D128" s="235" t="s">
        <v>253</v>
      </c>
      <c r="E128" s="54" t="s">
        <v>240</v>
      </c>
      <c r="H128" s="323" t="s">
        <v>356</v>
      </c>
      <c r="S128" s="4"/>
    </row>
    <row r="129" spans="1:19" ht="12.75" customHeight="1" x14ac:dyDescent="0.2">
      <c r="A129" s="199" t="s">
        <v>134</v>
      </c>
      <c r="B129" s="261">
        <v>900</v>
      </c>
      <c r="C129" s="194">
        <v>25</v>
      </c>
      <c r="D129" s="262">
        <v>4</v>
      </c>
      <c r="E129" s="263">
        <f>((C129*D129)*(C14/B129))</f>
        <v>19.555555555555557</v>
      </c>
      <c r="S129" s="4"/>
    </row>
    <row r="130" spans="1:19" ht="12.75" customHeight="1" x14ac:dyDescent="0.2">
      <c r="A130" s="230"/>
      <c r="B130" s="207">
        <v>450</v>
      </c>
      <c r="C130" s="77"/>
      <c r="D130" s="137"/>
      <c r="E130" s="246">
        <f>((C130*D130)*(C15/B130))</f>
        <v>0</v>
      </c>
      <c r="S130" s="4"/>
    </row>
    <row r="131" spans="1:19" ht="12.75" customHeight="1" x14ac:dyDescent="0.2">
      <c r="A131" s="146" t="s">
        <v>333</v>
      </c>
      <c r="B131" s="147"/>
      <c r="C131" s="148"/>
      <c r="D131" s="149"/>
      <c r="E131" s="250">
        <f>E126+E129+E130</f>
        <v>59.555555555555557</v>
      </c>
      <c r="S131" s="4"/>
    </row>
    <row r="132" spans="1:19" ht="12.75" customHeight="1" x14ac:dyDescent="0.2">
      <c r="A132" s="110" t="s">
        <v>107</v>
      </c>
      <c r="B132" s="106"/>
      <c r="C132" s="107"/>
      <c r="D132" s="108"/>
      <c r="E132" s="109"/>
      <c r="F132" s="92"/>
      <c r="S132" s="4"/>
    </row>
    <row r="133" spans="1:19" ht="12.75" customHeight="1" x14ac:dyDescent="0.2">
      <c r="A133" s="40"/>
      <c r="B133" s="40"/>
      <c r="C133" s="225" t="s">
        <v>109</v>
      </c>
      <c r="D133" s="226" t="s">
        <v>252</v>
      </c>
      <c r="E133" s="54" t="s">
        <v>240</v>
      </c>
      <c r="S133" s="4"/>
    </row>
    <row r="134" spans="1:19" ht="12.75" customHeight="1" x14ac:dyDescent="0.2">
      <c r="A134" s="40" t="s">
        <v>110</v>
      </c>
      <c r="B134" s="40"/>
      <c r="C134" s="68">
        <v>6</v>
      </c>
      <c r="D134" s="90">
        <v>0.06</v>
      </c>
      <c r="E134" s="245">
        <f>(C134*D134)*C14</f>
        <v>63.36</v>
      </c>
      <c r="S134" s="4"/>
    </row>
    <row r="135" spans="1:19" ht="12.75" customHeight="1" x14ac:dyDescent="0.2">
      <c r="A135" s="40"/>
      <c r="B135" s="7" t="s">
        <v>111</v>
      </c>
      <c r="C135" s="225" t="s">
        <v>112</v>
      </c>
      <c r="D135" s="226" t="s">
        <v>251</v>
      </c>
      <c r="E135" s="54" t="s">
        <v>240</v>
      </c>
      <c r="S135" s="4"/>
    </row>
    <row r="136" spans="1:19" ht="12.75" customHeight="1" x14ac:dyDescent="0.2">
      <c r="A136" s="40" t="s">
        <v>32</v>
      </c>
      <c r="B136" s="215">
        <v>1</v>
      </c>
      <c r="C136" s="68">
        <v>6</v>
      </c>
      <c r="D136" s="90">
        <v>0.04</v>
      </c>
      <c r="E136" s="251">
        <f>(C14*B136)*(C136*D136)</f>
        <v>42.239999999999995</v>
      </c>
      <c r="S136" s="4"/>
    </row>
    <row r="137" spans="1:19" ht="12.75" customHeight="1" x14ac:dyDescent="0.2">
      <c r="A137" s="138" t="s">
        <v>104</v>
      </c>
      <c r="B137" s="106"/>
      <c r="C137" s="139"/>
      <c r="D137" s="140"/>
      <c r="E137" s="141"/>
      <c r="F137" s="92"/>
      <c r="S137" s="4"/>
    </row>
    <row r="138" spans="1:19" ht="12.75" customHeight="1" x14ac:dyDescent="0.2">
      <c r="A138" s="40"/>
      <c r="B138" s="40"/>
      <c r="C138" s="225" t="s">
        <v>250</v>
      </c>
      <c r="D138" s="226" t="s">
        <v>249</v>
      </c>
      <c r="E138" s="54" t="s">
        <v>240</v>
      </c>
      <c r="G138" s="20"/>
      <c r="S138" s="4"/>
    </row>
    <row r="139" spans="1:19" ht="12.75" customHeight="1" x14ac:dyDescent="0.2">
      <c r="A139" s="266" t="s">
        <v>45</v>
      </c>
      <c r="B139" s="267"/>
      <c r="C139" s="167">
        <v>1.5</v>
      </c>
      <c r="D139" s="90">
        <v>25</v>
      </c>
      <c r="E139" s="245">
        <f>C139*D139</f>
        <v>37.5</v>
      </c>
      <c r="S139" s="4"/>
    </row>
    <row r="140" spans="1:19" ht="12.75" customHeight="1" x14ac:dyDescent="0.2">
      <c r="A140" s="40"/>
      <c r="B140" s="40"/>
      <c r="C140" s="42"/>
      <c r="D140" s="43"/>
      <c r="E140" s="10"/>
      <c r="S140" s="4"/>
    </row>
    <row r="141" spans="1:19" ht="12.75" customHeight="1" x14ac:dyDescent="0.2">
      <c r="A141" s="106"/>
      <c r="B141" s="112"/>
      <c r="C141" s="107"/>
      <c r="D141" s="108"/>
      <c r="E141" s="142"/>
      <c r="F141" s="92"/>
    </row>
    <row r="142" spans="1:19" ht="12.75" customHeight="1" x14ac:dyDescent="0.2">
      <c r="A142" s="33" t="s">
        <v>229</v>
      </c>
      <c r="C142" s="231">
        <v>7.4999999999999997E-2</v>
      </c>
      <c r="E142" s="241">
        <f>(C142*0.67)*(E103+(0.2*E117))</f>
        <v>29.699722312500004</v>
      </c>
      <c r="G142" s="86" t="s">
        <v>59</v>
      </c>
      <c r="H142" s="87"/>
      <c r="I142" s="87"/>
      <c r="J142" s="87"/>
      <c r="K142" s="87"/>
      <c r="L142" s="88"/>
    </row>
    <row r="143" spans="1:19" ht="12.75" customHeight="1" x14ac:dyDescent="0.2">
      <c r="A143" s="15"/>
      <c r="E143" s="6"/>
      <c r="G143" s="4"/>
      <c r="H143" s="4"/>
      <c r="I143" s="45"/>
      <c r="J143" s="45"/>
      <c r="K143" s="4"/>
      <c r="L143" s="45"/>
      <c r="M143" s="45"/>
    </row>
    <row r="144" spans="1:19" ht="12.75" customHeight="1" x14ac:dyDescent="0.2">
      <c r="A144" s="33" t="s">
        <v>85</v>
      </c>
      <c r="B144" s="4"/>
      <c r="C144" s="44"/>
      <c r="D144" s="43"/>
      <c r="E144" s="243">
        <f>E16*0.05</f>
        <v>36.167999999999999</v>
      </c>
    </row>
    <row r="145" spans="1:7" ht="12.75" customHeight="1" x14ac:dyDescent="0.2">
      <c r="A145" s="20" t="s">
        <v>231</v>
      </c>
      <c r="C145" s="16"/>
      <c r="E145" s="243">
        <f>E103+E117+E131+E134+E136+E139+E142+E144</f>
        <v>924.36252786805562</v>
      </c>
    </row>
    <row r="146" spans="1:7" ht="12.75" customHeight="1" x14ac:dyDescent="0.2">
      <c r="A146" s="20" t="s">
        <v>230</v>
      </c>
      <c r="D146" s="16"/>
      <c r="E146" s="243">
        <f>E16-E145</f>
        <v>-201.00252786805561</v>
      </c>
    </row>
    <row r="147" spans="1:7" ht="14.25" x14ac:dyDescent="0.2">
      <c r="A147" s="21"/>
      <c r="C147" s="54"/>
      <c r="D147" s="54"/>
      <c r="E147" s="55"/>
    </row>
    <row r="148" spans="1:7" x14ac:dyDescent="0.2">
      <c r="A148" s="33" t="s">
        <v>44</v>
      </c>
      <c r="B148" s="4"/>
      <c r="C148" s="42"/>
      <c r="D148" s="53"/>
      <c r="E148" s="252">
        <f>E145/C14</f>
        <v>5.2520598174321345</v>
      </c>
    </row>
    <row r="149" spans="1:7" x14ac:dyDescent="0.2">
      <c r="B149" s="4"/>
    </row>
    <row r="150" spans="1:7" x14ac:dyDescent="0.2">
      <c r="C150" s="355" t="s">
        <v>26</v>
      </c>
      <c r="D150" s="356"/>
      <c r="E150" s="356"/>
      <c r="F150" s="356"/>
      <c r="G150" s="357"/>
    </row>
    <row r="151" spans="1:7" x14ac:dyDescent="0.2">
      <c r="C151" s="74"/>
      <c r="D151" s="75"/>
      <c r="E151" s="75"/>
      <c r="F151" s="75"/>
      <c r="G151" s="76"/>
    </row>
    <row r="152" spans="1:7" x14ac:dyDescent="0.2">
      <c r="C152" s="355" t="s">
        <v>18</v>
      </c>
      <c r="D152" s="356"/>
      <c r="E152" s="356"/>
      <c r="F152" s="356"/>
      <c r="G152" s="357"/>
    </row>
    <row r="153" spans="1:7" x14ac:dyDescent="0.2">
      <c r="A153" s="358" t="s">
        <v>24</v>
      </c>
      <c r="B153" s="359"/>
      <c r="C153" s="23"/>
      <c r="D153" s="23"/>
      <c r="E153" s="23"/>
      <c r="F153" s="23"/>
      <c r="G153" s="23"/>
    </row>
    <row r="154" spans="1:7" x14ac:dyDescent="0.2">
      <c r="A154" s="258" t="s">
        <v>27</v>
      </c>
      <c r="B154" s="259" t="s">
        <v>0</v>
      </c>
      <c r="C154" s="355" t="s">
        <v>26</v>
      </c>
      <c r="D154" s="356"/>
      <c r="E154" s="356"/>
      <c r="F154" s="356"/>
      <c r="G154" s="357"/>
    </row>
    <row r="155" spans="1:7" x14ac:dyDescent="0.2">
      <c r="A155" s="24" t="s">
        <v>21</v>
      </c>
      <c r="B155" s="25">
        <f>C14*1.2</f>
        <v>211.2</v>
      </c>
      <c r="C155" s="347">
        <f>(C$160*$B155)-$E$145</f>
        <v>-229.93692786805559</v>
      </c>
      <c r="D155" s="347">
        <f>(D$160*B155)-$E$145</f>
        <v>-143.13372786805564</v>
      </c>
      <c r="E155" s="347">
        <f>(E$160*$B155)-E$145</f>
        <v>-56.330527868055583</v>
      </c>
      <c r="F155" s="347">
        <f>(F$160*$B155)-E$145</f>
        <v>30.472672131944478</v>
      </c>
      <c r="G155" s="347">
        <f>(G$160*B155)-E$145</f>
        <v>117.27587213194442</v>
      </c>
    </row>
    <row r="156" spans="1:7" x14ac:dyDescent="0.2">
      <c r="A156" s="24" t="s">
        <v>20</v>
      </c>
      <c r="B156" s="25">
        <f>C14*1.1</f>
        <v>193.60000000000002</v>
      </c>
      <c r="C156" s="347">
        <f>(C$160*B156)-$E$145</f>
        <v>-287.80572786805544</v>
      </c>
      <c r="D156" s="347">
        <f>(D$160*B156)-$E$145</f>
        <v>-208.23612786805552</v>
      </c>
      <c r="E156" s="347">
        <f>(E$160*$B156)-E$145</f>
        <v>-128.66652786805548</v>
      </c>
      <c r="F156" s="347">
        <f>(F$160*$B156)-E$145</f>
        <v>-49.096927868055332</v>
      </c>
      <c r="G156" s="347">
        <f>(G$160*B156)-E$145</f>
        <v>30.472672131944591</v>
      </c>
    </row>
    <row r="157" spans="1:7" x14ac:dyDescent="0.2">
      <c r="A157" s="22"/>
      <c r="B157" s="25">
        <f>C14</f>
        <v>176</v>
      </c>
      <c r="C157" s="347">
        <f>(C$160*B157)-$E$145</f>
        <v>-345.67452786805552</v>
      </c>
      <c r="D157" s="347">
        <f>(D$160*B157)-$E$145</f>
        <v>-273.33852786805562</v>
      </c>
      <c r="E157" s="348">
        <f>(E$160*$B157)-E$145</f>
        <v>-201.00252786805561</v>
      </c>
      <c r="F157" s="347">
        <f>(F$160*$B157)-E$145</f>
        <v>-128.66652786805548</v>
      </c>
      <c r="G157" s="347">
        <f>(G$160*B157)-E$145</f>
        <v>-56.330527868055583</v>
      </c>
    </row>
    <row r="158" spans="1:7" x14ac:dyDescent="0.2">
      <c r="A158" s="24" t="s">
        <v>22</v>
      </c>
      <c r="B158" s="25">
        <f>C14*0.9</f>
        <v>158.4</v>
      </c>
      <c r="C158" s="347">
        <f>(C$160*B158)-$E$145</f>
        <v>-403.5433278680556</v>
      </c>
      <c r="D158" s="347">
        <f>(D$160*B158)-$E$145</f>
        <v>-338.44092786805561</v>
      </c>
      <c r="E158" s="347">
        <f>(E$160*$B158)-E$145</f>
        <v>-273.33852786805551</v>
      </c>
      <c r="F158" s="347">
        <f>(F$160*$B158)-E$145</f>
        <v>-208.23612786805552</v>
      </c>
      <c r="G158" s="347">
        <f>(G$160*B158)-E$145</f>
        <v>-143.13372786805553</v>
      </c>
    </row>
    <row r="159" spans="1:7" x14ac:dyDescent="0.2">
      <c r="A159" s="24" t="s">
        <v>23</v>
      </c>
      <c r="B159" s="25">
        <f>C14*0.8</f>
        <v>140.80000000000001</v>
      </c>
      <c r="C159" s="347">
        <f>(C$160*B159)-$E$145</f>
        <v>-461.41212786805556</v>
      </c>
      <c r="D159" s="347">
        <f>(D$160*B159)-$E$145</f>
        <v>-403.54332786805548</v>
      </c>
      <c r="E159" s="347">
        <f>(E$160*$B159)-E$145</f>
        <v>-345.67452786805552</v>
      </c>
      <c r="F159" s="347">
        <f>(F$160*$B159)-E$145</f>
        <v>-287.80572786805544</v>
      </c>
      <c r="G159" s="347">
        <f>(G$160*B159)-E$145</f>
        <v>-229.93692786805548</v>
      </c>
    </row>
    <row r="160" spans="1:7" x14ac:dyDescent="0.2">
      <c r="A160" s="257" t="s">
        <v>25</v>
      </c>
      <c r="B160" s="253"/>
      <c r="C160" s="254">
        <f>D14*0.8</f>
        <v>3.2880000000000003</v>
      </c>
      <c r="D160" s="254">
        <f>D14*0.9</f>
        <v>3.6990000000000003</v>
      </c>
      <c r="E160" s="254">
        <f>D14</f>
        <v>4.1100000000000003</v>
      </c>
      <c r="F160" s="254">
        <f>D14*1.1</f>
        <v>4.5210000000000008</v>
      </c>
      <c r="G160" s="254">
        <f>D14*1.2</f>
        <v>4.9320000000000004</v>
      </c>
    </row>
    <row r="161" spans="1:7" x14ac:dyDescent="0.2">
      <c r="A161" s="257" t="s">
        <v>19</v>
      </c>
      <c r="B161" s="253"/>
      <c r="C161" s="255" t="s">
        <v>23</v>
      </c>
      <c r="D161" s="255" t="s">
        <v>22</v>
      </c>
      <c r="E161" s="256"/>
      <c r="F161" s="255" t="s">
        <v>20</v>
      </c>
      <c r="G161" s="255" t="s">
        <v>21</v>
      </c>
    </row>
  </sheetData>
  <sheetProtection algorithmName="SHA-512" hashValue="9jJuppnA1BeWSS5CJL15WTaDsze85TSZIdB4UiHEEAZMF+F7EITxuBkLOK+jDjZTn1PXfdSPlVf9qTHgbLtA5A==" saltValue="vj09W89Lkj56ieCo55PDNw==" spinCount="100000" sheet="1" objects="1" scenarios="1"/>
  <mergeCells count="4">
    <mergeCell ref="C150:G150"/>
    <mergeCell ref="A153:B153"/>
    <mergeCell ref="C154:G154"/>
    <mergeCell ref="C152:G152"/>
  </mergeCells>
  <phoneticPr fontId="8" type="noConversion"/>
  <hyperlinks>
    <hyperlink ref="H118" r:id="rId1" xr:uid="{00000000-0004-0000-0200-000000000000}"/>
    <hyperlink ref="H125" r:id="rId2" xr:uid="{00000000-0004-0000-0200-000001000000}"/>
    <hyperlink ref="H119" r:id="rId3" xr:uid="{00000000-0004-0000-0200-000002000000}"/>
    <hyperlink ref="H122" r:id="rId4" xr:uid="{00000000-0004-0000-0200-000003000000}"/>
  </hyperlinks>
  <printOptions gridLines="1"/>
  <pageMargins left="0" right="0" top="0" bottom="0" header="0.5" footer="0.5"/>
  <pageSetup scale="82" fitToWidth="0" fitToHeight="2" orientation="portrait" r:id="rId5"/>
  <headerFooter alignWithMargins="0"/>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S183"/>
  <sheetViews>
    <sheetView workbookViewId="0">
      <selection activeCell="E14" sqref="E14"/>
    </sheetView>
  </sheetViews>
  <sheetFormatPr defaultColWidth="8.42578125" defaultRowHeight="12.75" x14ac:dyDescent="0.2"/>
  <cols>
    <col min="1" max="1" width="23.42578125" customWidth="1"/>
    <col min="2" max="2" width="16.140625" customWidth="1"/>
    <col min="3" max="3" width="18.7109375" customWidth="1"/>
    <col min="4" max="4" width="15" customWidth="1"/>
    <col min="5" max="5" width="11.28515625" customWidth="1"/>
    <col min="6" max="6" width="11" customWidth="1"/>
    <col min="7" max="7" width="13.42578125" customWidth="1"/>
    <col min="8" max="9" width="7.42578125" customWidth="1"/>
    <col min="10" max="10" width="8.42578125" customWidth="1"/>
    <col min="11" max="11" width="8" customWidth="1"/>
  </cols>
  <sheetData>
    <row r="1" spans="1:9" ht="15.75" customHeight="1" x14ac:dyDescent="0.2">
      <c r="A1" s="20" t="s">
        <v>29</v>
      </c>
      <c r="E1" s="36"/>
    </row>
    <row r="2" spans="1:9" ht="8.25" customHeight="1" x14ac:dyDescent="0.2"/>
    <row r="3" spans="1:9" ht="15" customHeight="1" x14ac:dyDescent="0.2"/>
    <row r="4" spans="1:9" ht="8.25" customHeight="1" x14ac:dyDescent="0.2"/>
    <row r="5" spans="1:9" ht="18.75" customHeight="1" x14ac:dyDescent="0.25">
      <c r="A5" s="2" t="s">
        <v>316</v>
      </c>
      <c r="D5" s="19"/>
      <c r="E5" s="307"/>
    </row>
    <row r="6" spans="1:9" ht="5.25" customHeight="1" x14ac:dyDescent="0.2"/>
    <row r="7" spans="1:9" x14ac:dyDescent="0.2">
      <c r="A7" s="17" t="s">
        <v>83</v>
      </c>
      <c r="E7" s="67"/>
      <c r="I7" s="38"/>
    </row>
    <row r="8" spans="1:9" x14ac:dyDescent="0.2">
      <c r="A8" s="17" t="s">
        <v>228</v>
      </c>
      <c r="E8" s="242"/>
    </row>
    <row r="9" spans="1:9" x14ac:dyDescent="0.2">
      <c r="A9" s="17" t="s">
        <v>71</v>
      </c>
      <c r="E9" s="79"/>
    </row>
    <row r="10" spans="1:9" x14ac:dyDescent="0.2">
      <c r="A10" s="17"/>
      <c r="C10" s="3"/>
    </row>
    <row r="11" spans="1:9" ht="20.100000000000001" customHeight="1" x14ac:dyDescent="0.25">
      <c r="A11" s="2" t="s">
        <v>343</v>
      </c>
      <c r="B11" s="352" t="s">
        <v>417</v>
      </c>
      <c r="C11" s="353"/>
      <c r="D11" s="20"/>
    </row>
    <row r="12" spans="1:9" x14ac:dyDescent="0.2">
      <c r="A12" s="119" t="s">
        <v>37</v>
      </c>
      <c r="B12" s="117"/>
      <c r="C12" s="118"/>
      <c r="D12" s="117"/>
      <c r="E12" s="117"/>
      <c r="F12" s="92"/>
    </row>
    <row r="13" spans="1:9" x14ac:dyDescent="0.2">
      <c r="A13" s="17"/>
      <c r="B13" s="17" t="s">
        <v>246</v>
      </c>
      <c r="C13" s="54" t="s">
        <v>266</v>
      </c>
      <c r="D13" s="7" t="s">
        <v>239</v>
      </c>
      <c r="E13" s="7" t="s">
        <v>236</v>
      </c>
    </row>
    <row r="14" spans="1:9" x14ac:dyDescent="0.2">
      <c r="A14" s="20" t="s">
        <v>206</v>
      </c>
      <c r="B14" s="275">
        <v>0.65</v>
      </c>
      <c r="C14" s="68">
        <v>21</v>
      </c>
      <c r="D14" s="124">
        <v>38</v>
      </c>
      <c r="E14" s="241">
        <f>C14*D14</f>
        <v>798</v>
      </c>
    </row>
    <row r="15" spans="1:9" x14ac:dyDescent="0.2">
      <c r="A15" s="20" t="s">
        <v>227</v>
      </c>
      <c r="C15" s="273">
        <f>C14*(1-B14)</f>
        <v>7.35</v>
      </c>
      <c r="D15" s="232"/>
      <c r="E15" s="308"/>
    </row>
    <row r="16" spans="1:9" x14ac:dyDescent="0.2">
      <c r="A16" s="152" t="s">
        <v>39</v>
      </c>
      <c r="B16" s="159"/>
      <c r="C16" s="157"/>
      <c r="D16" s="159"/>
      <c r="E16" s="243">
        <f>E14</f>
        <v>798</v>
      </c>
    </row>
    <row r="17" spans="1:18" x14ac:dyDescent="0.2">
      <c r="A17" s="119" t="s">
        <v>40</v>
      </c>
      <c r="B17" s="120"/>
      <c r="C17" s="121"/>
      <c r="D17" s="120"/>
      <c r="E17" s="120"/>
      <c r="F17" s="122"/>
    </row>
    <row r="18" spans="1:18" ht="12" customHeight="1" x14ac:dyDescent="0.2">
      <c r="A18" s="17"/>
      <c r="B18" s="4"/>
      <c r="C18" s="3"/>
      <c r="D18" s="4"/>
      <c r="E18" s="4"/>
    </row>
    <row r="19" spans="1:18" x14ac:dyDescent="0.2">
      <c r="A19" s="111" t="s">
        <v>4</v>
      </c>
      <c r="B19" s="92"/>
      <c r="C19" s="112"/>
      <c r="D19" s="112"/>
      <c r="E19" s="112"/>
      <c r="F19" s="92"/>
    </row>
    <row r="20" spans="1:18" ht="15" customHeight="1" x14ac:dyDescent="0.2">
      <c r="A20" s="98" t="s">
        <v>88</v>
      </c>
      <c r="B20" s="99"/>
      <c r="C20" s="100"/>
      <c r="D20" s="100"/>
      <c r="E20" s="100"/>
      <c r="F20" s="97"/>
      <c r="H20" s="17"/>
      <c r="J20" s="17"/>
      <c r="M20" s="20"/>
    </row>
    <row r="21" spans="1:18" x14ac:dyDescent="0.2">
      <c r="A21" s="33"/>
      <c r="B21" s="7" t="s">
        <v>237</v>
      </c>
      <c r="C21" s="7" t="s">
        <v>238</v>
      </c>
      <c r="D21" s="7" t="s">
        <v>239</v>
      </c>
      <c r="E21" s="54" t="s">
        <v>240</v>
      </c>
      <c r="G21" s="65"/>
      <c r="H21" s="17"/>
      <c r="J21" s="17"/>
      <c r="K21" s="17"/>
      <c r="M21" s="20"/>
    </row>
    <row r="22" spans="1:18" x14ac:dyDescent="0.2">
      <c r="A22" s="39" t="s">
        <v>303</v>
      </c>
      <c r="B22" s="207">
        <v>11.65</v>
      </c>
      <c r="C22" s="78">
        <v>5</v>
      </c>
      <c r="D22" s="90">
        <v>758</v>
      </c>
      <c r="E22" s="244">
        <f>((D22/2000)*B22*C22)</f>
        <v>22.076750000000001</v>
      </c>
      <c r="G22" s="48"/>
      <c r="H22" s="6"/>
      <c r="I22" s="48"/>
      <c r="J22" s="6"/>
      <c r="O22" s="20"/>
      <c r="P22" s="20"/>
      <c r="Q22" s="20"/>
      <c r="R22" s="20"/>
    </row>
    <row r="23" spans="1:18" x14ac:dyDescent="0.2">
      <c r="A23" s="39"/>
      <c r="B23" s="40"/>
      <c r="C23" s="47"/>
      <c r="D23" s="10"/>
      <c r="E23" s="46"/>
      <c r="G23" s="48"/>
      <c r="H23" s="6"/>
      <c r="I23" s="48"/>
      <c r="J23" s="6"/>
      <c r="O23" s="20"/>
      <c r="P23" s="20"/>
      <c r="Q23" s="20"/>
      <c r="R23" s="20"/>
    </row>
    <row r="24" spans="1:18" x14ac:dyDescent="0.2">
      <c r="A24" s="33"/>
      <c r="C24" s="7" t="s">
        <v>241</v>
      </c>
      <c r="D24" s="7" t="s">
        <v>239</v>
      </c>
      <c r="E24" s="54" t="s">
        <v>240</v>
      </c>
      <c r="G24" s="65"/>
      <c r="H24" s="17"/>
      <c r="J24" s="17"/>
      <c r="K24" s="17"/>
      <c r="M24" s="20"/>
    </row>
    <row r="25" spans="1:18" x14ac:dyDescent="0.2">
      <c r="A25" s="208" t="s">
        <v>33</v>
      </c>
      <c r="B25" s="4"/>
      <c r="C25" s="68">
        <v>0</v>
      </c>
      <c r="D25" s="90">
        <v>635</v>
      </c>
      <c r="E25" s="245">
        <f>C25*(D25/2000)</f>
        <v>0</v>
      </c>
      <c r="G25" s="5"/>
      <c r="H25" s="1"/>
      <c r="J25" s="56"/>
    </row>
    <row r="26" spans="1:18" x14ac:dyDescent="0.2">
      <c r="A26" s="208" t="s">
        <v>66</v>
      </c>
      <c r="B26" s="4"/>
      <c r="C26" s="77"/>
      <c r="D26" s="90"/>
      <c r="E26" s="246">
        <f>C26*(D26/2000)</f>
        <v>0</v>
      </c>
      <c r="G26" s="5"/>
      <c r="H26" s="1"/>
      <c r="J26" s="56"/>
    </row>
    <row r="27" spans="1:18" x14ac:dyDescent="0.2">
      <c r="A27" s="209" t="s">
        <v>66</v>
      </c>
      <c r="B27" s="4"/>
      <c r="C27" s="77"/>
      <c r="D27" s="193"/>
      <c r="E27" s="246">
        <f>C27*(D27/2000)</f>
        <v>0</v>
      </c>
      <c r="G27" s="5"/>
      <c r="H27" s="1"/>
      <c r="J27" s="56"/>
    </row>
    <row r="28" spans="1:18" x14ac:dyDescent="0.2">
      <c r="A28" s="208"/>
      <c r="B28" s="4"/>
      <c r="C28" s="68"/>
      <c r="D28" s="90"/>
      <c r="E28" s="245">
        <f>C28*(D28/2000)</f>
        <v>0</v>
      </c>
      <c r="G28" s="5"/>
      <c r="H28" s="1"/>
      <c r="J28" s="56"/>
    </row>
    <row r="29" spans="1:18" x14ac:dyDescent="0.2">
      <c r="A29" s="94"/>
      <c r="B29" s="4"/>
      <c r="C29" s="42"/>
      <c r="D29" s="93"/>
      <c r="E29" s="93"/>
      <c r="G29" s="5"/>
      <c r="H29" s="1"/>
      <c r="J29" s="56"/>
    </row>
    <row r="30" spans="1:18" ht="14.25" customHeight="1" x14ac:dyDescent="0.2">
      <c r="A30" s="95" t="s">
        <v>135</v>
      </c>
      <c r="B30" s="96"/>
      <c r="C30" s="160"/>
      <c r="D30" s="161"/>
      <c r="E30" s="161"/>
      <c r="F30" s="97"/>
    </row>
    <row r="31" spans="1:18" ht="14.25" customHeight="1" x14ac:dyDescent="0.2">
      <c r="A31" s="48" t="s">
        <v>305</v>
      </c>
      <c r="C31" s="219" t="s">
        <v>242</v>
      </c>
      <c r="D31" s="7" t="s">
        <v>243</v>
      </c>
      <c r="E31" s="54" t="s">
        <v>240</v>
      </c>
    </row>
    <row r="32" spans="1:18" ht="14.25" customHeight="1" x14ac:dyDescent="0.2">
      <c r="A32" s="201" t="s">
        <v>14</v>
      </c>
      <c r="B32" s="40"/>
      <c r="C32" s="68">
        <v>140</v>
      </c>
      <c r="D32" s="90">
        <v>0.6</v>
      </c>
      <c r="E32" s="245">
        <f>C32*D32</f>
        <v>84</v>
      </c>
    </row>
    <row r="33" spans="1:12" ht="14.25" customHeight="1" x14ac:dyDescent="0.2">
      <c r="A33" s="220" t="s">
        <v>15</v>
      </c>
      <c r="B33" s="4"/>
      <c r="C33" s="68"/>
      <c r="D33" s="90">
        <v>0</v>
      </c>
      <c r="E33" s="245">
        <f t="shared" ref="E33:E35" si="0">C33*D33</f>
        <v>0</v>
      </c>
    </row>
    <row r="34" spans="1:12" ht="13.5" customHeight="1" x14ac:dyDescent="0.2">
      <c r="A34" s="220" t="s">
        <v>16</v>
      </c>
      <c r="B34" s="4"/>
      <c r="C34" s="68"/>
      <c r="D34" s="90">
        <v>0</v>
      </c>
      <c r="E34" s="245">
        <f t="shared" si="0"/>
        <v>0</v>
      </c>
      <c r="G34" s="72"/>
      <c r="H34" s="16"/>
      <c r="I34" s="16"/>
      <c r="J34" s="7"/>
      <c r="K34" s="17"/>
      <c r="L34" s="17"/>
    </row>
    <row r="35" spans="1:12" ht="14.25" customHeight="1" x14ac:dyDescent="0.2">
      <c r="A35" s="221" t="s">
        <v>17</v>
      </c>
      <c r="B35" s="4"/>
      <c r="C35" s="68"/>
      <c r="D35" s="90">
        <v>0</v>
      </c>
      <c r="E35" s="246">
        <f t="shared" si="0"/>
        <v>0</v>
      </c>
      <c r="G35" s="5"/>
      <c r="H35" s="6"/>
      <c r="I35" s="6"/>
      <c r="J35" s="6"/>
      <c r="K35" s="6"/>
    </row>
    <row r="36" spans="1:12" ht="14.25" customHeight="1" x14ac:dyDescent="0.2">
      <c r="A36" s="199" t="s">
        <v>86</v>
      </c>
      <c r="B36" s="4"/>
      <c r="C36" s="42"/>
      <c r="D36" s="93"/>
      <c r="E36" s="210">
        <v>0</v>
      </c>
      <c r="G36" s="5"/>
      <c r="H36" s="6"/>
      <c r="I36" s="6"/>
      <c r="J36" s="6"/>
      <c r="K36" s="6"/>
    </row>
    <row r="37" spans="1:12" ht="14.25" customHeight="1" x14ac:dyDescent="0.2">
      <c r="A37" s="82" t="s">
        <v>136</v>
      </c>
      <c r="B37" s="81"/>
      <c r="C37" s="42"/>
      <c r="D37" s="93"/>
      <c r="E37" s="90">
        <v>0</v>
      </c>
      <c r="G37" s="5"/>
      <c r="H37" s="6"/>
      <c r="I37" s="6"/>
      <c r="J37" s="6"/>
      <c r="K37" s="6"/>
    </row>
    <row r="38" spans="1:12" ht="14.25" x14ac:dyDescent="0.25">
      <c r="A38" s="39"/>
      <c r="B38" s="4"/>
      <c r="C38" s="7" t="s">
        <v>193</v>
      </c>
      <c r="D38" s="223" t="s">
        <v>265</v>
      </c>
      <c r="E38" s="46"/>
      <c r="G38" s="65"/>
      <c r="I38" s="6"/>
    </row>
    <row r="39" spans="1:12" x14ac:dyDescent="0.2">
      <c r="A39" s="94" t="s">
        <v>192</v>
      </c>
      <c r="C39" s="68">
        <v>60</v>
      </c>
      <c r="D39" s="210">
        <v>0.81</v>
      </c>
      <c r="E39" s="247">
        <f t="shared" ref="E39" si="1">C39*D39</f>
        <v>48.6</v>
      </c>
      <c r="G39" s="48"/>
      <c r="H39" s="6"/>
    </row>
    <row r="40" spans="1:12" ht="14.25" customHeight="1" x14ac:dyDescent="0.25">
      <c r="A40" s="39"/>
      <c r="B40" s="4"/>
      <c r="C40" s="7" t="s">
        <v>194</v>
      </c>
      <c r="D40" s="223" t="s">
        <v>264</v>
      </c>
      <c r="E40" s="46"/>
      <c r="G40" s="5"/>
      <c r="H40" s="6"/>
      <c r="K40" s="17"/>
    </row>
    <row r="41" spans="1:12" ht="14.25" customHeight="1" x14ac:dyDescent="0.2">
      <c r="A41" s="222" t="s">
        <v>13</v>
      </c>
      <c r="C41" s="68">
        <v>185</v>
      </c>
      <c r="D41" s="90">
        <v>0.43</v>
      </c>
      <c r="E41" s="245">
        <f>C41*D41</f>
        <v>79.55</v>
      </c>
      <c r="G41" s="72"/>
      <c r="H41" s="16"/>
      <c r="I41" s="73"/>
      <c r="J41" s="73"/>
      <c r="K41" s="7"/>
      <c r="L41" s="7"/>
    </row>
    <row r="42" spans="1:12" ht="14.25" customHeight="1" x14ac:dyDescent="0.2">
      <c r="C42" s="12"/>
      <c r="G42" s="5"/>
      <c r="H42" s="1"/>
      <c r="I42" s="1"/>
      <c r="J42" s="1"/>
      <c r="K42" s="1"/>
      <c r="L42" s="1"/>
    </row>
    <row r="43" spans="1:12" ht="14.25" customHeight="1" x14ac:dyDescent="0.2">
      <c r="A43" s="199" t="s">
        <v>133</v>
      </c>
      <c r="B43" s="4"/>
      <c r="C43" s="9"/>
      <c r="D43" s="10"/>
      <c r="E43" s="90">
        <v>0</v>
      </c>
      <c r="G43" s="5"/>
      <c r="H43" s="6"/>
      <c r="I43" s="6"/>
      <c r="J43" s="6"/>
      <c r="K43" s="6"/>
      <c r="L43" s="6"/>
    </row>
    <row r="44" spans="1:12" ht="14.25" customHeight="1" x14ac:dyDescent="0.2">
      <c r="A44" s="166"/>
      <c r="B44" s="4"/>
      <c r="C44" s="9"/>
      <c r="D44" s="10"/>
      <c r="E44" s="102"/>
      <c r="G44" s="5"/>
      <c r="H44" s="6"/>
      <c r="I44" s="6"/>
      <c r="J44" s="6"/>
      <c r="K44" s="6"/>
      <c r="L44" s="6"/>
    </row>
    <row r="45" spans="1:12" ht="14.25" customHeight="1" x14ac:dyDescent="0.2">
      <c r="A45" s="199" t="s">
        <v>7</v>
      </c>
      <c r="B45" s="4"/>
      <c r="C45" s="9"/>
      <c r="D45" s="10"/>
      <c r="E45" s="90">
        <v>0</v>
      </c>
      <c r="G45" s="5"/>
      <c r="H45" s="6"/>
      <c r="I45" s="6"/>
      <c r="J45" s="6"/>
      <c r="K45" s="6"/>
      <c r="L45" s="6"/>
    </row>
    <row r="46" spans="1:12" ht="14.25" customHeight="1" x14ac:dyDescent="0.2">
      <c r="A46" s="199"/>
      <c r="B46" s="4"/>
      <c r="C46" s="9"/>
      <c r="D46" s="10"/>
      <c r="E46" s="90">
        <v>0</v>
      </c>
      <c r="G46" s="5"/>
      <c r="H46" s="6"/>
      <c r="I46" s="6"/>
      <c r="J46" s="6"/>
      <c r="K46" s="6"/>
      <c r="L46" s="6"/>
    </row>
    <row r="47" spans="1:12" ht="14.25" customHeight="1" x14ac:dyDescent="0.2">
      <c r="A47" s="199"/>
      <c r="B47" s="4"/>
      <c r="C47" s="9"/>
      <c r="D47" s="10"/>
      <c r="E47" s="90">
        <v>0</v>
      </c>
      <c r="G47" s="5"/>
      <c r="H47" s="6"/>
      <c r="I47" s="6"/>
      <c r="J47" s="6"/>
      <c r="K47" s="6"/>
      <c r="L47" s="6"/>
    </row>
    <row r="48" spans="1:12" ht="14.25" customHeight="1" x14ac:dyDescent="0.2">
      <c r="A48" s="33" t="s">
        <v>247</v>
      </c>
      <c r="B48" s="101"/>
      <c r="C48" s="219" t="s">
        <v>72</v>
      </c>
      <c r="D48" s="54" t="s">
        <v>255</v>
      </c>
      <c r="E48" s="10"/>
      <c r="G48" s="5"/>
      <c r="H48" s="6"/>
      <c r="I48" s="6"/>
      <c r="J48" s="6"/>
      <c r="K48" s="6"/>
      <c r="L48" s="6"/>
    </row>
    <row r="49" spans="1:12" ht="14.25" customHeight="1" x14ac:dyDescent="0.2">
      <c r="A49" s="199" t="s">
        <v>89</v>
      </c>
      <c r="B49" s="4"/>
      <c r="C49" s="68">
        <v>1</v>
      </c>
      <c r="D49" s="90">
        <v>9</v>
      </c>
      <c r="E49" s="245">
        <f>D49*C49</f>
        <v>9</v>
      </c>
      <c r="G49" s="5"/>
      <c r="H49" s="6"/>
      <c r="I49" s="6"/>
      <c r="J49" s="6"/>
      <c r="K49" s="6"/>
      <c r="L49" s="6"/>
    </row>
    <row r="50" spans="1:12" ht="14.25" customHeight="1" x14ac:dyDescent="0.2">
      <c r="A50" s="199"/>
      <c r="B50" s="4"/>
      <c r="C50" s="68">
        <v>0</v>
      </c>
      <c r="D50" s="90">
        <v>0</v>
      </c>
      <c r="E50" s="245">
        <f t="shared" ref="E50:E51" si="2">D50*C50</f>
        <v>0</v>
      </c>
      <c r="G50" s="5"/>
      <c r="H50" s="6"/>
      <c r="I50" s="6"/>
      <c r="J50" s="6"/>
      <c r="K50" s="6"/>
      <c r="L50" s="6"/>
    </row>
    <row r="51" spans="1:12" ht="14.25" customHeight="1" x14ac:dyDescent="0.2">
      <c r="A51" s="199" t="s">
        <v>90</v>
      </c>
      <c r="B51" s="4"/>
      <c r="C51" s="68">
        <v>0</v>
      </c>
      <c r="D51" s="90">
        <v>0</v>
      </c>
      <c r="E51" s="245">
        <f t="shared" si="2"/>
        <v>0</v>
      </c>
      <c r="G51" s="5"/>
      <c r="H51" s="6"/>
      <c r="I51" s="6"/>
      <c r="J51" s="6"/>
      <c r="K51" s="6"/>
      <c r="L51" s="6"/>
    </row>
    <row r="52" spans="1:12" ht="14.25" customHeight="1" x14ac:dyDescent="0.2">
      <c r="A52" s="33"/>
      <c r="B52" s="4"/>
      <c r="C52" s="9"/>
      <c r="D52" s="10"/>
      <c r="E52" s="10"/>
      <c r="G52" s="5"/>
      <c r="H52" s="6"/>
      <c r="I52" s="6"/>
      <c r="J52" s="6"/>
      <c r="K52" s="6"/>
      <c r="L52" s="6"/>
    </row>
    <row r="53" spans="1:12" x14ac:dyDescent="0.2">
      <c r="B53" s="7" t="s">
        <v>262</v>
      </c>
      <c r="C53" s="7" t="s">
        <v>263</v>
      </c>
      <c r="D53" s="54" t="s">
        <v>239</v>
      </c>
      <c r="E53" s="54" t="s">
        <v>240</v>
      </c>
    </row>
    <row r="54" spans="1:12" x14ac:dyDescent="0.2">
      <c r="A54" s="4" t="s">
        <v>80</v>
      </c>
      <c r="B54" s="211">
        <v>1</v>
      </c>
      <c r="C54" s="69">
        <v>0</v>
      </c>
      <c r="D54" s="124"/>
      <c r="E54" s="245">
        <f>(D54*C54)/B54</f>
        <v>0</v>
      </c>
      <c r="H54" s="80"/>
    </row>
    <row r="55" spans="1:12" x14ac:dyDescent="0.2">
      <c r="A55" s="15"/>
      <c r="B55" s="40"/>
      <c r="C55" s="125"/>
      <c r="D55" s="309" t="s">
        <v>67</v>
      </c>
      <c r="E55" s="102"/>
      <c r="H55" s="80"/>
    </row>
    <row r="56" spans="1:12" x14ac:dyDescent="0.2">
      <c r="A56" s="33" t="s">
        <v>98</v>
      </c>
      <c r="B56" s="4"/>
      <c r="C56" s="123"/>
      <c r="D56" s="124"/>
      <c r="E56" s="245">
        <f>D56/B54</f>
        <v>0</v>
      </c>
      <c r="H56" s="80"/>
    </row>
    <row r="57" spans="1:12" x14ac:dyDescent="0.2">
      <c r="A57" s="15"/>
      <c r="B57" s="84"/>
      <c r="C57" s="20"/>
      <c r="D57" s="1"/>
      <c r="E57" s="6"/>
      <c r="H57" s="80"/>
    </row>
    <row r="58" spans="1:12" x14ac:dyDescent="0.2">
      <c r="A58" s="152" t="s">
        <v>103</v>
      </c>
      <c r="B58" s="159"/>
      <c r="C58" s="159"/>
      <c r="D58" s="159"/>
      <c r="E58" s="243">
        <f>SUM(E22:E57)</f>
        <v>243.22674999999998</v>
      </c>
      <c r="G58" s="33"/>
      <c r="H58" s="33"/>
    </row>
    <row r="59" spans="1:12" x14ac:dyDescent="0.2">
      <c r="A59" s="111" t="s">
        <v>94</v>
      </c>
      <c r="B59" s="92"/>
      <c r="C59" s="92"/>
      <c r="D59" s="92"/>
      <c r="E59" s="92"/>
      <c r="F59" s="92"/>
      <c r="G59" s="33"/>
      <c r="H59" s="33"/>
    </row>
    <row r="60" spans="1:12" x14ac:dyDescent="0.2">
      <c r="A60" s="18"/>
      <c r="B60" s="4"/>
      <c r="C60" s="54" t="s">
        <v>322</v>
      </c>
      <c r="D60" s="54" t="s">
        <v>323</v>
      </c>
      <c r="E60" s="54" t="s">
        <v>240</v>
      </c>
      <c r="G60" s="33"/>
      <c r="H60" s="33"/>
    </row>
    <row r="61" spans="1:12" x14ac:dyDescent="0.2">
      <c r="A61" s="5" t="s">
        <v>1</v>
      </c>
      <c r="B61" s="40"/>
      <c r="C61" s="212">
        <v>32000</v>
      </c>
      <c r="D61" s="169">
        <v>235</v>
      </c>
      <c r="E61" s="245">
        <f>+D61*(C61/80000)</f>
        <v>94</v>
      </c>
      <c r="G61" s="33"/>
      <c r="H61" s="33"/>
    </row>
    <row r="62" spans="1:12" x14ac:dyDescent="0.2">
      <c r="A62" s="5"/>
      <c r="B62" s="5"/>
      <c r="C62" s="7" t="s">
        <v>260</v>
      </c>
      <c r="D62" s="54" t="s">
        <v>261</v>
      </c>
      <c r="E62" s="54" t="s">
        <v>240</v>
      </c>
    </row>
    <row r="63" spans="1:12" x14ac:dyDescent="0.2">
      <c r="A63" s="48" t="s">
        <v>81</v>
      </c>
      <c r="B63" s="48"/>
      <c r="C63" s="68">
        <v>25</v>
      </c>
      <c r="D63" s="169">
        <v>1.5</v>
      </c>
      <c r="E63" s="324">
        <f>D63*C63</f>
        <v>37.5</v>
      </c>
    </row>
    <row r="64" spans="1:12" x14ac:dyDescent="0.2">
      <c r="A64" s="48"/>
      <c r="B64" s="48"/>
      <c r="C64" s="225" t="s">
        <v>298</v>
      </c>
      <c r="D64" s="234" t="s">
        <v>261</v>
      </c>
      <c r="E64" s="227" t="s">
        <v>240</v>
      </c>
    </row>
    <row r="65" spans="1:8" x14ac:dyDescent="0.2">
      <c r="A65" s="48" t="s">
        <v>81</v>
      </c>
      <c r="B65" s="48"/>
      <c r="C65" s="68"/>
      <c r="D65" s="169"/>
      <c r="E65" s="324">
        <f>D65*C65</f>
        <v>0</v>
      </c>
    </row>
    <row r="66" spans="1:8" x14ac:dyDescent="0.2">
      <c r="A66" s="146" t="s">
        <v>114</v>
      </c>
      <c r="B66" s="153"/>
      <c r="C66" s="158"/>
      <c r="D66" s="157"/>
      <c r="E66" s="249">
        <f>E61+E63+E65</f>
        <v>131.5</v>
      </c>
    </row>
    <row r="67" spans="1:8" x14ac:dyDescent="0.2">
      <c r="A67" s="110" t="s">
        <v>92</v>
      </c>
      <c r="B67" s="106"/>
      <c r="C67" s="107"/>
      <c r="D67" s="108"/>
      <c r="E67" s="145"/>
      <c r="F67" s="92"/>
    </row>
    <row r="68" spans="1:8" x14ac:dyDescent="0.2">
      <c r="A68" s="65" t="s">
        <v>2</v>
      </c>
      <c r="B68" s="4"/>
      <c r="C68" s="162"/>
      <c r="D68" s="83"/>
      <c r="E68" s="54" t="s">
        <v>240</v>
      </c>
      <c r="G68" s="20"/>
      <c r="H68" s="20"/>
    </row>
    <row r="69" spans="1:8" x14ac:dyDescent="0.2">
      <c r="A69" s="33" t="s">
        <v>126</v>
      </c>
      <c r="B69" s="4"/>
      <c r="C69" s="162"/>
      <c r="D69" s="83"/>
      <c r="E69" s="217">
        <v>0</v>
      </c>
      <c r="G69" s="20"/>
      <c r="H69" s="20"/>
    </row>
    <row r="70" spans="1:8" x14ac:dyDescent="0.2">
      <c r="A70" s="40" t="s">
        <v>99</v>
      </c>
      <c r="B70" s="4"/>
      <c r="C70" s="162"/>
      <c r="D70" s="83"/>
      <c r="E70" s="90">
        <v>0</v>
      </c>
      <c r="G70" s="20"/>
      <c r="H70" s="20"/>
    </row>
    <row r="71" spans="1:8" x14ac:dyDescent="0.2">
      <c r="A71" s="33" t="s">
        <v>127</v>
      </c>
      <c r="B71" s="4"/>
      <c r="C71" s="9"/>
      <c r="D71" s="163"/>
      <c r="E71" s="90">
        <v>0</v>
      </c>
      <c r="G71" s="20"/>
      <c r="H71" s="20"/>
    </row>
    <row r="72" spans="1:8" x14ac:dyDescent="0.2">
      <c r="A72" s="40" t="s">
        <v>99</v>
      </c>
      <c r="B72" s="4"/>
      <c r="C72" s="9"/>
      <c r="D72" s="163"/>
      <c r="E72" s="90">
        <v>0</v>
      </c>
      <c r="G72" s="20"/>
      <c r="H72" s="20"/>
    </row>
    <row r="73" spans="1:8" x14ac:dyDescent="0.2">
      <c r="A73" s="33" t="s">
        <v>128</v>
      </c>
      <c r="B73" s="4"/>
      <c r="C73" s="9"/>
      <c r="D73" s="163"/>
      <c r="E73" s="90">
        <v>35</v>
      </c>
      <c r="G73" s="20"/>
      <c r="H73" s="20"/>
    </row>
    <row r="74" spans="1:8" x14ac:dyDescent="0.2">
      <c r="A74" s="40" t="s">
        <v>99</v>
      </c>
      <c r="B74" s="4"/>
      <c r="C74" s="9"/>
      <c r="D74" s="163"/>
      <c r="E74" s="90">
        <v>9</v>
      </c>
      <c r="G74" s="20"/>
      <c r="H74" s="20"/>
    </row>
    <row r="75" spans="1:8" x14ac:dyDescent="0.2">
      <c r="A75" s="143" t="s">
        <v>129</v>
      </c>
      <c r="B75" s="3"/>
      <c r="C75" s="42"/>
      <c r="D75" s="164"/>
      <c r="E75" s="90">
        <v>0</v>
      </c>
      <c r="G75" s="33"/>
      <c r="H75" s="33"/>
    </row>
    <row r="76" spans="1:8" x14ac:dyDescent="0.2">
      <c r="A76" s="37" t="s">
        <v>99</v>
      </c>
      <c r="B76" s="3"/>
      <c r="C76" s="42"/>
      <c r="D76" s="164"/>
      <c r="E76" s="90">
        <v>0</v>
      </c>
      <c r="G76" s="20"/>
      <c r="H76" s="20"/>
    </row>
    <row r="77" spans="1:8" x14ac:dyDescent="0.2">
      <c r="A77" s="65" t="s">
        <v>8</v>
      </c>
      <c r="B77" s="4"/>
      <c r="C77" s="9"/>
      <c r="D77" s="3"/>
      <c r="E77" s="169">
        <v>0</v>
      </c>
    </row>
    <row r="78" spans="1:8" x14ac:dyDescent="0.2">
      <c r="A78" s="40" t="s">
        <v>130</v>
      </c>
      <c r="B78" s="4"/>
      <c r="C78" s="9"/>
      <c r="D78" s="3"/>
      <c r="E78" s="169">
        <v>0</v>
      </c>
    </row>
    <row r="79" spans="1:8" x14ac:dyDescent="0.2">
      <c r="A79" s="40" t="s">
        <v>99</v>
      </c>
      <c r="B79" s="4"/>
      <c r="C79" s="9"/>
      <c r="D79" s="3"/>
      <c r="E79" s="169">
        <v>0</v>
      </c>
      <c r="G79" s="1"/>
    </row>
    <row r="80" spans="1:8" x14ac:dyDescent="0.2">
      <c r="A80" s="37" t="s">
        <v>131</v>
      </c>
      <c r="B80" s="3"/>
      <c r="C80" s="42"/>
      <c r="D80" s="164"/>
      <c r="E80" s="90">
        <v>0</v>
      </c>
    </row>
    <row r="81" spans="1:8" x14ac:dyDescent="0.2">
      <c r="A81" s="37" t="s">
        <v>99</v>
      </c>
      <c r="B81" s="3"/>
      <c r="C81" s="42"/>
      <c r="D81" s="164"/>
      <c r="E81" s="90">
        <v>0</v>
      </c>
    </row>
    <row r="82" spans="1:8" x14ac:dyDescent="0.2">
      <c r="A82" s="65" t="s">
        <v>12</v>
      </c>
      <c r="B82" s="4"/>
      <c r="C82" s="9"/>
      <c r="D82" s="3"/>
      <c r="E82" s="169">
        <v>0</v>
      </c>
    </row>
    <row r="83" spans="1:8" ht="13.5" customHeight="1" x14ac:dyDescent="0.2">
      <c r="A83" s="143" t="s">
        <v>132</v>
      </c>
      <c r="B83" s="3"/>
      <c r="C83" s="42"/>
      <c r="D83" s="164"/>
      <c r="E83" s="90">
        <v>0</v>
      </c>
      <c r="H83" s="20"/>
    </row>
    <row r="84" spans="1:8" x14ac:dyDescent="0.2">
      <c r="A84" s="37" t="s">
        <v>99</v>
      </c>
      <c r="B84" s="3"/>
      <c r="C84" s="42"/>
      <c r="D84" s="164"/>
      <c r="E84" s="90">
        <v>0</v>
      </c>
    </row>
    <row r="85" spans="1:8" x14ac:dyDescent="0.2">
      <c r="A85" s="143" t="s">
        <v>30</v>
      </c>
      <c r="B85" s="3"/>
      <c r="C85" s="42"/>
      <c r="D85" s="164"/>
      <c r="E85" s="90">
        <v>0</v>
      </c>
    </row>
    <row r="86" spans="1:8" x14ac:dyDescent="0.2">
      <c r="A86" s="143" t="s">
        <v>31</v>
      </c>
      <c r="B86" s="3"/>
      <c r="C86" s="42"/>
      <c r="D86" s="164"/>
      <c r="E86" s="90">
        <v>0</v>
      </c>
    </row>
    <row r="87" spans="1:8" x14ac:dyDescent="0.2">
      <c r="A87" s="156" t="s">
        <v>119</v>
      </c>
      <c r="B87" s="157"/>
      <c r="C87" s="148"/>
      <c r="D87" s="165"/>
      <c r="E87" s="250">
        <f>SUM(E69:E86)</f>
        <v>44</v>
      </c>
    </row>
    <row r="88" spans="1:8" x14ac:dyDescent="0.2">
      <c r="A88" s="131" t="s">
        <v>10</v>
      </c>
      <c r="B88" s="105"/>
      <c r="C88" s="130"/>
      <c r="D88" s="109"/>
      <c r="E88" s="109"/>
      <c r="F88" s="92"/>
    </row>
    <row r="89" spans="1:8" x14ac:dyDescent="0.2">
      <c r="A89" s="144"/>
      <c r="B89" s="3"/>
      <c r="C89" s="9"/>
      <c r="D89" s="10"/>
      <c r="E89" s="54" t="s">
        <v>240</v>
      </c>
    </row>
    <row r="90" spans="1:8" x14ac:dyDescent="0.2">
      <c r="A90" s="143" t="s">
        <v>118</v>
      </c>
      <c r="B90" s="3"/>
      <c r="C90" s="42"/>
      <c r="D90" s="43"/>
      <c r="E90" s="90">
        <v>0</v>
      </c>
    </row>
    <row r="91" spans="1:8" x14ac:dyDescent="0.2">
      <c r="A91" s="143"/>
      <c r="B91" s="3"/>
      <c r="C91" s="225" t="s">
        <v>116</v>
      </c>
      <c r="D91" s="226" t="s">
        <v>257</v>
      </c>
      <c r="E91" s="54" t="s">
        <v>240</v>
      </c>
    </row>
    <row r="92" spans="1:8" x14ac:dyDescent="0.2">
      <c r="A92" s="20" t="s">
        <v>115</v>
      </c>
      <c r="B92" s="5"/>
      <c r="C92" s="150">
        <v>0</v>
      </c>
      <c r="D92" s="171">
        <v>5.5</v>
      </c>
      <c r="E92" s="246">
        <f>+C92*D92</f>
        <v>0</v>
      </c>
    </row>
    <row r="93" spans="1:8" x14ac:dyDescent="0.2">
      <c r="A93" s="152" t="s">
        <v>117</v>
      </c>
      <c r="B93" s="153"/>
      <c r="C93" s="154"/>
      <c r="D93" s="155"/>
      <c r="E93" s="250">
        <f>E92+E90</f>
        <v>0</v>
      </c>
    </row>
    <row r="94" spans="1:8" ht="15" x14ac:dyDescent="0.25">
      <c r="A94" s="110" t="s">
        <v>93</v>
      </c>
      <c r="B94" s="103"/>
      <c r="C94" s="104"/>
      <c r="D94" s="105"/>
      <c r="E94" s="105"/>
      <c r="F94" s="92"/>
      <c r="H94" s="129"/>
    </row>
    <row r="95" spans="1:8" ht="13.5" customHeight="1" x14ac:dyDescent="0.2">
      <c r="A95" s="18"/>
      <c r="B95" s="4"/>
      <c r="C95" s="3"/>
      <c r="D95" s="3"/>
      <c r="E95" s="54" t="s">
        <v>240</v>
      </c>
    </row>
    <row r="96" spans="1:8" ht="13.5" customHeight="1" x14ac:dyDescent="0.2">
      <c r="A96" s="33" t="s">
        <v>232</v>
      </c>
      <c r="B96" s="4"/>
      <c r="C96" s="3"/>
      <c r="D96" s="3"/>
      <c r="E96" s="173">
        <v>185</v>
      </c>
    </row>
    <row r="97" spans="1:8" x14ac:dyDescent="0.2">
      <c r="A97" s="33" t="s">
        <v>28</v>
      </c>
      <c r="B97" s="4"/>
      <c r="C97" s="42"/>
      <c r="D97" s="43"/>
      <c r="E97" s="90">
        <v>30</v>
      </c>
    </row>
    <row r="98" spans="1:8" x14ac:dyDescent="0.2">
      <c r="A98" s="33" t="s">
        <v>102</v>
      </c>
      <c r="B98" s="4"/>
      <c r="C98" s="42"/>
      <c r="D98" s="43"/>
      <c r="E98" s="90">
        <v>0</v>
      </c>
    </row>
    <row r="99" spans="1:8" ht="15" x14ac:dyDescent="0.25">
      <c r="A99" s="33" t="s">
        <v>91</v>
      </c>
      <c r="B99" s="40" t="s">
        <v>233</v>
      </c>
      <c r="C99" s="42"/>
      <c r="D99" s="43"/>
      <c r="E99" s="90">
        <v>0</v>
      </c>
      <c r="H99" s="128"/>
    </row>
    <row r="100" spans="1:8" ht="15" x14ac:dyDescent="0.25">
      <c r="A100" s="33" t="s">
        <v>101</v>
      </c>
      <c r="B100" s="40"/>
      <c r="C100" s="42"/>
      <c r="D100" s="43"/>
      <c r="E100" s="193">
        <v>2.5</v>
      </c>
      <c r="H100" s="128"/>
    </row>
    <row r="101" spans="1:8" x14ac:dyDescent="0.2">
      <c r="A101" s="146" t="s">
        <v>120</v>
      </c>
      <c r="B101" s="147"/>
      <c r="C101" s="148"/>
      <c r="D101" s="149"/>
      <c r="E101" s="250">
        <f>SUM(E96:E100)</f>
        <v>217.5</v>
      </c>
    </row>
    <row r="102" spans="1:8" x14ac:dyDescent="0.2">
      <c r="A102" s="92"/>
      <c r="B102" s="103"/>
      <c r="C102" s="135"/>
      <c r="D102" s="136"/>
      <c r="E102" s="133"/>
      <c r="F102" s="92"/>
    </row>
    <row r="103" spans="1:8" x14ac:dyDescent="0.2">
      <c r="A103" s="14" t="s">
        <v>11</v>
      </c>
      <c r="B103" s="3"/>
      <c r="C103" s="9"/>
      <c r="D103" s="10"/>
      <c r="E103" s="250">
        <f>E58+E66+E87+E93+E101</f>
        <v>636.22675000000004</v>
      </c>
    </row>
    <row r="104" spans="1:8" x14ac:dyDescent="0.2">
      <c r="A104" s="14"/>
      <c r="B104" s="3"/>
      <c r="C104" s="9"/>
      <c r="D104" s="10"/>
      <c r="E104" s="126"/>
    </row>
    <row r="105" spans="1:8" x14ac:dyDescent="0.2">
      <c r="A105" s="111" t="s">
        <v>100</v>
      </c>
      <c r="B105" s="92"/>
      <c r="C105" s="127"/>
      <c r="D105" s="103"/>
      <c r="E105" s="92"/>
      <c r="F105" s="92"/>
    </row>
    <row r="106" spans="1:8" x14ac:dyDescent="0.2">
      <c r="A106" s="11" t="s">
        <v>121</v>
      </c>
      <c r="C106" s="219" t="s">
        <v>256</v>
      </c>
      <c r="D106" s="228" t="s">
        <v>255</v>
      </c>
      <c r="E106" s="54" t="s">
        <v>240</v>
      </c>
    </row>
    <row r="107" spans="1:8" x14ac:dyDescent="0.2">
      <c r="A107" s="199" t="s">
        <v>82</v>
      </c>
      <c r="B107" s="4"/>
      <c r="C107" s="68">
        <v>1</v>
      </c>
      <c r="D107" s="89">
        <v>20</v>
      </c>
      <c r="E107" s="241">
        <f>C107*D107</f>
        <v>20</v>
      </c>
    </row>
    <row r="108" spans="1:8" x14ac:dyDescent="0.2">
      <c r="A108" s="199" t="s">
        <v>9</v>
      </c>
      <c r="B108" s="4"/>
      <c r="C108" s="68">
        <v>1</v>
      </c>
      <c r="D108" s="90">
        <v>18</v>
      </c>
      <c r="E108" s="241">
        <f t="shared" ref="E108:E116" si="3">C108*D108</f>
        <v>18</v>
      </c>
    </row>
    <row r="109" spans="1:8" x14ac:dyDescent="0.2">
      <c r="A109" s="199" t="s">
        <v>42</v>
      </c>
      <c r="B109" s="4"/>
      <c r="C109" s="68">
        <v>1</v>
      </c>
      <c r="D109" s="90">
        <v>25</v>
      </c>
      <c r="E109" s="241">
        <f t="shared" si="3"/>
        <v>25</v>
      </c>
    </row>
    <row r="110" spans="1:8" x14ac:dyDescent="0.2">
      <c r="A110" s="199" t="s">
        <v>326</v>
      </c>
      <c r="B110" s="4"/>
      <c r="C110" s="68"/>
      <c r="D110" s="90">
        <v>35</v>
      </c>
      <c r="E110" s="241">
        <f t="shared" si="3"/>
        <v>0</v>
      </c>
    </row>
    <row r="111" spans="1:8" x14ac:dyDescent="0.2">
      <c r="A111" s="199"/>
      <c r="B111" s="4"/>
      <c r="C111" s="68"/>
      <c r="D111" s="90">
        <v>0</v>
      </c>
      <c r="E111" s="241">
        <f t="shared" si="3"/>
        <v>0</v>
      </c>
    </row>
    <row r="112" spans="1:8" ht="14.25" customHeight="1" x14ac:dyDescent="0.2">
      <c r="A112" s="213" t="s">
        <v>108</v>
      </c>
      <c r="B112" s="4"/>
      <c r="C112" s="68">
        <v>1</v>
      </c>
      <c r="D112" s="90">
        <v>18</v>
      </c>
      <c r="E112" s="241">
        <f t="shared" si="3"/>
        <v>18</v>
      </c>
    </row>
    <row r="113" spans="1:19" ht="14.25" customHeight="1" x14ac:dyDescent="0.2">
      <c r="A113" s="213"/>
      <c r="B113" s="4"/>
      <c r="C113" s="68"/>
      <c r="D113" s="90">
        <v>0</v>
      </c>
      <c r="E113" s="241">
        <f t="shared" si="3"/>
        <v>0</v>
      </c>
    </row>
    <row r="114" spans="1:19" ht="14.25" customHeight="1" x14ac:dyDescent="0.2">
      <c r="A114" s="213"/>
      <c r="B114" s="4"/>
      <c r="C114" s="68"/>
      <c r="D114" s="90">
        <v>0</v>
      </c>
      <c r="E114" s="241">
        <f t="shared" si="3"/>
        <v>0</v>
      </c>
    </row>
    <row r="115" spans="1:19" ht="12" customHeight="1" x14ac:dyDescent="0.2">
      <c r="A115" s="213"/>
      <c r="B115" s="3"/>
      <c r="C115" s="68"/>
      <c r="D115" s="90">
        <v>0</v>
      </c>
      <c r="E115" s="241">
        <f t="shared" si="3"/>
        <v>0</v>
      </c>
    </row>
    <row r="116" spans="1:19" ht="12.75" customHeight="1" x14ac:dyDescent="0.2">
      <c r="A116" s="199"/>
      <c r="B116" s="3"/>
      <c r="C116" s="68"/>
      <c r="D116" s="90">
        <v>0</v>
      </c>
      <c r="E116" s="245">
        <f t="shared" si="3"/>
        <v>0</v>
      </c>
    </row>
    <row r="117" spans="1:19" ht="12" customHeight="1" x14ac:dyDescent="0.2">
      <c r="A117" s="14" t="s">
        <v>183</v>
      </c>
      <c r="B117" s="3"/>
      <c r="C117" s="9"/>
      <c r="D117" s="3"/>
      <c r="E117" s="250">
        <f>SUM(E107:E116)</f>
        <v>81</v>
      </c>
      <c r="H117" s="322" t="s">
        <v>336</v>
      </c>
    </row>
    <row r="118" spans="1:19" ht="12" customHeight="1" x14ac:dyDescent="0.2">
      <c r="A118" s="8"/>
      <c r="B118" s="3"/>
      <c r="C118" s="9"/>
      <c r="D118" s="3"/>
      <c r="E118" s="126"/>
      <c r="H118" s="323" t="s">
        <v>355</v>
      </c>
    </row>
    <row r="119" spans="1:19" ht="12.75" customHeight="1" x14ac:dyDescent="0.2">
      <c r="A119" s="14" t="s">
        <v>270</v>
      </c>
      <c r="B119" s="3"/>
      <c r="C119" s="219" t="s">
        <v>256</v>
      </c>
      <c r="D119" s="228" t="s">
        <v>255</v>
      </c>
      <c r="E119" s="54" t="s">
        <v>240</v>
      </c>
    </row>
    <row r="120" spans="1:19" ht="12.75" customHeight="1" x14ac:dyDescent="0.2">
      <c r="A120" s="213" t="s">
        <v>325</v>
      </c>
      <c r="B120" s="3"/>
      <c r="C120" s="68">
        <v>1</v>
      </c>
      <c r="D120" s="91">
        <v>225</v>
      </c>
      <c r="E120" s="245">
        <f>C120*D120</f>
        <v>225</v>
      </c>
      <c r="H120" s="322" t="s">
        <v>334</v>
      </c>
    </row>
    <row r="121" spans="1:19" ht="12.75" customHeight="1" x14ac:dyDescent="0.2">
      <c r="A121" s="199"/>
      <c r="B121" s="40"/>
      <c r="C121" s="68"/>
      <c r="D121" s="91">
        <v>0</v>
      </c>
      <c r="E121" s="245">
        <f t="shared" ref="E121:E126" si="4">C121*D121</f>
        <v>0</v>
      </c>
      <c r="H121" s="323" t="s">
        <v>335</v>
      </c>
      <c r="S121" s="4"/>
    </row>
    <row r="122" spans="1:19" ht="12.75" customHeight="1" x14ac:dyDescent="0.2">
      <c r="A122" s="199" t="s">
        <v>34</v>
      </c>
      <c r="B122" s="4"/>
      <c r="C122" s="68"/>
      <c r="D122" s="91">
        <v>0</v>
      </c>
      <c r="E122" s="245">
        <f t="shared" si="4"/>
        <v>0</v>
      </c>
      <c r="H122" s="36" t="s">
        <v>357</v>
      </c>
      <c r="S122" s="4"/>
    </row>
    <row r="123" spans="1:19" ht="12.75" customHeight="1" x14ac:dyDescent="0.2">
      <c r="A123" s="199" t="s">
        <v>352</v>
      </c>
      <c r="B123" s="40"/>
      <c r="C123" s="68"/>
      <c r="D123" s="91"/>
      <c r="E123" s="245">
        <f t="shared" si="4"/>
        <v>0</v>
      </c>
      <c r="S123" s="4"/>
    </row>
    <row r="124" spans="1:19" ht="12.75" customHeight="1" x14ac:dyDescent="0.2">
      <c r="A124" s="199" t="s">
        <v>353</v>
      </c>
      <c r="B124" s="40"/>
      <c r="C124" s="68"/>
      <c r="D124" s="91"/>
      <c r="E124" s="245">
        <f t="shared" si="4"/>
        <v>0</v>
      </c>
      <c r="H124" t="s">
        <v>358</v>
      </c>
      <c r="S124" s="4"/>
    </row>
    <row r="125" spans="1:19" ht="12.75" customHeight="1" x14ac:dyDescent="0.2">
      <c r="A125" s="199"/>
      <c r="B125" s="40"/>
      <c r="C125" s="68"/>
      <c r="D125" s="91">
        <v>0</v>
      </c>
      <c r="E125" s="245">
        <f t="shared" si="4"/>
        <v>0</v>
      </c>
      <c r="H125" s="323" t="s">
        <v>359</v>
      </c>
      <c r="S125" s="4"/>
    </row>
    <row r="126" spans="1:19" ht="12.75" customHeight="1" x14ac:dyDescent="0.2">
      <c r="A126" s="199"/>
      <c r="B126" s="40"/>
      <c r="C126" s="68"/>
      <c r="D126" s="90">
        <v>0</v>
      </c>
      <c r="E126" s="245">
        <f t="shared" si="4"/>
        <v>0</v>
      </c>
      <c r="S126" s="4"/>
    </row>
    <row r="127" spans="1:19" ht="12.75" customHeight="1" x14ac:dyDescent="0.2">
      <c r="A127" s="11" t="s">
        <v>269</v>
      </c>
      <c r="B127" s="40"/>
      <c r="C127" s="42"/>
      <c r="D127" s="164"/>
      <c r="E127" s="250">
        <f>SUM(E120:E126)</f>
        <v>225</v>
      </c>
      <c r="H127" s="322" t="s">
        <v>337</v>
      </c>
      <c r="S127" s="4"/>
    </row>
    <row r="128" spans="1:19" ht="12.75" customHeight="1" x14ac:dyDescent="0.2">
      <c r="A128" s="40"/>
      <c r="B128" s="40"/>
      <c r="C128" s="42"/>
      <c r="D128" s="164"/>
      <c r="E128" s="93"/>
      <c r="H128" s="323" t="s">
        <v>338</v>
      </c>
      <c r="S128" s="4"/>
    </row>
    <row r="129" spans="1:19" ht="12.75" customHeight="1" x14ac:dyDescent="0.2">
      <c r="A129" s="198" t="s">
        <v>271</v>
      </c>
      <c r="B129" s="40"/>
      <c r="C129" s="225" t="s">
        <v>268</v>
      </c>
      <c r="D129" s="226" t="s">
        <v>267</v>
      </c>
      <c r="E129" s="54" t="s">
        <v>240</v>
      </c>
      <c r="S129" s="4"/>
    </row>
    <row r="130" spans="1:19" ht="12.75" customHeight="1" x14ac:dyDescent="0.2">
      <c r="A130" s="199"/>
      <c r="B130" s="40"/>
      <c r="C130" s="68"/>
      <c r="D130" s="91"/>
      <c r="E130" s="245">
        <f>IFERROR(D130/C130,0)</f>
        <v>0</v>
      </c>
      <c r="H130" s="322" t="s">
        <v>339</v>
      </c>
      <c r="S130" s="4"/>
    </row>
    <row r="131" spans="1:19" ht="12.75" customHeight="1" x14ac:dyDescent="0.2">
      <c r="A131" s="199"/>
      <c r="B131" s="40"/>
      <c r="C131" s="68"/>
      <c r="D131" s="91">
        <v>0</v>
      </c>
      <c r="E131" s="245">
        <f t="shared" ref="E131:E136" si="5">IFERROR(D131/C131,0)</f>
        <v>0</v>
      </c>
      <c r="H131" s="323" t="s">
        <v>356</v>
      </c>
      <c r="S131" s="4"/>
    </row>
    <row r="132" spans="1:19" ht="12.75" customHeight="1" x14ac:dyDescent="0.2">
      <c r="A132" s="199"/>
      <c r="B132" s="40"/>
      <c r="C132" s="68"/>
      <c r="D132" s="91">
        <v>0</v>
      </c>
      <c r="E132" s="245">
        <f t="shared" si="5"/>
        <v>0</v>
      </c>
      <c r="S132" s="4"/>
    </row>
    <row r="133" spans="1:19" ht="12.75" customHeight="1" x14ac:dyDescent="0.2">
      <c r="A133" s="199"/>
      <c r="B133" s="40"/>
      <c r="C133" s="68"/>
      <c r="D133" s="91">
        <v>0</v>
      </c>
      <c r="E133" s="245">
        <f t="shared" si="5"/>
        <v>0</v>
      </c>
      <c r="S133" s="4"/>
    </row>
    <row r="134" spans="1:19" ht="12.75" customHeight="1" x14ac:dyDescent="0.2">
      <c r="A134" s="199"/>
      <c r="B134" s="40"/>
      <c r="C134" s="68"/>
      <c r="D134" s="91">
        <v>0</v>
      </c>
      <c r="E134" s="245">
        <f t="shared" si="5"/>
        <v>0</v>
      </c>
      <c r="S134" s="4"/>
    </row>
    <row r="135" spans="1:19" ht="12.75" customHeight="1" x14ac:dyDescent="0.2">
      <c r="A135" s="199"/>
      <c r="B135" s="40"/>
      <c r="C135" s="68"/>
      <c r="D135" s="91">
        <v>0</v>
      </c>
      <c r="E135" s="245">
        <f t="shared" si="5"/>
        <v>0</v>
      </c>
      <c r="S135" s="4"/>
    </row>
    <row r="136" spans="1:19" ht="12.75" customHeight="1" x14ac:dyDescent="0.2">
      <c r="A136" s="199"/>
      <c r="B136" s="40"/>
      <c r="C136" s="68"/>
      <c r="D136" s="90">
        <v>0</v>
      </c>
      <c r="E136" s="245">
        <f t="shared" si="5"/>
        <v>0</v>
      </c>
      <c r="S136" s="4"/>
    </row>
    <row r="137" spans="1:19" ht="12.75" customHeight="1" x14ac:dyDescent="0.2">
      <c r="A137" s="11" t="s">
        <v>272</v>
      </c>
      <c r="B137" s="40"/>
      <c r="C137" s="42"/>
      <c r="D137" s="164"/>
      <c r="E137" s="250">
        <f>SUM(E130:E136)</f>
        <v>0</v>
      </c>
      <c r="S137" s="4"/>
    </row>
    <row r="138" spans="1:19" ht="12.75" customHeight="1" x14ac:dyDescent="0.2">
      <c r="A138" s="40"/>
      <c r="B138" s="40"/>
      <c r="C138" s="42"/>
      <c r="D138" s="164"/>
      <c r="E138" s="93"/>
      <c r="S138" s="4"/>
    </row>
    <row r="139" spans="1:19" ht="12.75" customHeight="1" x14ac:dyDescent="0.2">
      <c r="A139" s="310" t="s">
        <v>273</v>
      </c>
      <c r="B139" s="40"/>
      <c r="C139" s="42"/>
      <c r="D139" s="226" t="s">
        <v>239</v>
      </c>
      <c r="E139" s="54" t="s">
        <v>240</v>
      </c>
      <c r="S139" s="4"/>
    </row>
    <row r="140" spans="1:19" ht="12.75" customHeight="1" x14ac:dyDescent="0.2">
      <c r="A140" s="199"/>
      <c r="B140" s="40"/>
      <c r="C140" s="42"/>
      <c r="D140" s="90"/>
      <c r="E140" s="245">
        <f>D140*$C$14</f>
        <v>0</v>
      </c>
      <c r="S140" s="4"/>
    </row>
    <row r="141" spans="1:19" ht="12.75" customHeight="1" x14ac:dyDescent="0.2">
      <c r="A141" s="199"/>
      <c r="B141" s="40"/>
      <c r="C141" s="42"/>
      <c r="D141" s="90">
        <v>0</v>
      </c>
      <c r="E141" s="245">
        <f t="shared" ref="E141:E145" si="6">D141*$C$14</f>
        <v>0</v>
      </c>
      <c r="S141" s="4"/>
    </row>
    <row r="142" spans="1:19" ht="12.75" customHeight="1" x14ac:dyDescent="0.2">
      <c r="A142" s="199"/>
      <c r="B142" s="40"/>
      <c r="C142" s="42"/>
      <c r="D142" s="90">
        <v>0</v>
      </c>
      <c r="E142" s="245">
        <f t="shared" si="6"/>
        <v>0</v>
      </c>
      <c r="S142" s="4"/>
    </row>
    <row r="143" spans="1:19" ht="12.75" customHeight="1" x14ac:dyDescent="0.2">
      <c r="A143" s="199"/>
      <c r="B143" s="40"/>
      <c r="C143" s="42"/>
      <c r="D143" s="90">
        <v>0</v>
      </c>
      <c r="E143" s="245">
        <f t="shared" si="6"/>
        <v>0</v>
      </c>
      <c r="S143" s="4"/>
    </row>
    <row r="144" spans="1:19" ht="12.75" customHeight="1" x14ac:dyDescent="0.2">
      <c r="A144" s="199"/>
      <c r="B144" s="40"/>
      <c r="C144" s="42"/>
      <c r="D144" s="90">
        <v>0</v>
      </c>
      <c r="E144" s="245">
        <f t="shared" si="6"/>
        <v>0</v>
      </c>
      <c r="S144" s="4"/>
    </row>
    <row r="145" spans="1:19" ht="12.75" customHeight="1" x14ac:dyDescent="0.2">
      <c r="A145" s="199"/>
      <c r="B145" s="40"/>
      <c r="C145" s="42"/>
      <c r="D145" s="90">
        <v>0</v>
      </c>
      <c r="E145" s="245">
        <f t="shared" si="6"/>
        <v>0</v>
      </c>
      <c r="S145" s="4"/>
    </row>
    <row r="146" spans="1:19" ht="12.75" customHeight="1" x14ac:dyDescent="0.2">
      <c r="A146" s="11" t="s">
        <v>274</v>
      </c>
      <c r="B146" s="40"/>
      <c r="C146" s="42"/>
      <c r="D146" s="164"/>
      <c r="E146" s="250">
        <f>SUM(E140:E145)</f>
        <v>0</v>
      </c>
      <c r="S146" s="4"/>
    </row>
    <row r="147" spans="1:19" ht="12.75" customHeight="1" x14ac:dyDescent="0.2">
      <c r="A147" s="40"/>
      <c r="B147" s="40"/>
      <c r="C147" s="42"/>
      <c r="D147" s="164"/>
      <c r="E147" s="93"/>
      <c r="S147" s="4"/>
    </row>
    <row r="148" spans="1:19" ht="12.75" customHeight="1" x14ac:dyDescent="0.2">
      <c r="A148" s="11" t="s">
        <v>34</v>
      </c>
      <c r="B148" s="7" t="s">
        <v>275</v>
      </c>
      <c r="C148" s="225" t="s">
        <v>124</v>
      </c>
      <c r="D148" s="226" t="s">
        <v>253</v>
      </c>
      <c r="E148" s="54" t="s">
        <v>240</v>
      </c>
      <c r="S148" s="4"/>
    </row>
    <row r="149" spans="1:19" ht="12.75" customHeight="1" x14ac:dyDescent="0.2">
      <c r="A149" s="199"/>
      <c r="B149" s="207">
        <v>20</v>
      </c>
      <c r="C149" s="68">
        <v>0</v>
      </c>
      <c r="D149" s="90">
        <v>4</v>
      </c>
      <c r="E149" s="245">
        <f>((C149*D149)*(C14/B149))</f>
        <v>0</v>
      </c>
      <c r="S149" s="4"/>
    </row>
    <row r="150" spans="1:19" ht="12.75" customHeight="1" x14ac:dyDescent="0.2">
      <c r="A150" s="230"/>
      <c r="B150" s="207">
        <v>10</v>
      </c>
      <c r="C150" s="77"/>
      <c r="D150" s="174">
        <v>0</v>
      </c>
      <c r="E150" s="246">
        <f>((C150*D150)*(C14/B150))</f>
        <v>0</v>
      </c>
      <c r="S150" s="4"/>
    </row>
    <row r="151" spans="1:19" ht="12.75" customHeight="1" x14ac:dyDescent="0.2">
      <c r="A151" s="146" t="s">
        <v>123</v>
      </c>
      <c r="B151" s="147"/>
      <c r="C151" s="148"/>
      <c r="D151" s="149"/>
      <c r="E151" s="250">
        <f>E127+E137+E146+E149+E150</f>
        <v>225</v>
      </c>
      <c r="S151" s="4"/>
    </row>
    <row r="152" spans="1:19" ht="12.75" customHeight="1" x14ac:dyDescent="0.2">
      <c r="A152" s="110" t="s">
        <v>157</v>
      </c>
      <c r="B152" s="106"/>
      <c r="C152" s="107"/>
      <c r="D152" s="108"/>
      <c r="E152" s="109"/>
      <c r="F152" s="92"/>
      <c r="S152" s="4"/>
    </row>
    <row r="153" spans="1:19" ht="12.75" customHeight="1" x14ac:dyDescent="0.2">
      <c r="A153" s="40"/>
      <c r="B153" s="40"/>
      <c r="C153" s="7" t="s">
        <v>276</v>
      </c>
      <c r="D153" s="225" t="s">
        <v>277</v>
      </c>
      <c r="E153" s="54" t="s">
        <v>240</v>
      </c>
      <c r="S153" s="4"/>
    </row>
    <row r="154" spans="1:19" ht="12.75" customHeight="1" x14ac:dyDescent="0.2">
      <c r="A154" s="199" t="s">
        <v>140</v>
      </c>
      <c r="B154" s="40"/>
      <c r="C154" s="172">
        <v>260</v>
      </c>
      <c r="D154" s="173">
        <v>1000</v>
      </c>
      <c r="E154" s="274">
        <f>(D154/C154)*C14</f>
        <v>80.769230769230774</v>
      </c>
      <c r="S154" s="4"/>
    </row>
    <row r="155" spans="1:19" ht="12.75" customHeight="1" x14ac:dyDescent="0.25">
      <c r="A155" s="199" t="s">
        <v>141</v>
      </c>
      <c r="B155" s="40"/>
      <c r="C155" s="68">
        <v>400</v>
      </c>
      <c r="D155" s="90">
        <v>0</v>
      </c>
      <c r="E155" s="245">
        <f>(C155*D155)*$C$14</f>
        <v>0</v>
      </c>
      <c r="H155" s="188" t="s">
        <v>144</v>
      </c>
      <c r="I155" s="311"/>
      <c r="J155" s="311"/>
      <c r="K155" s="311"/>
      <c r="L155" s="312"/>
      <c r="M155" s="313"/>
      <c r="S155" s="4"/>
    </row>
    <row r="156" spans="1:19" ht="12.75" customHeight="1" x14ac:dyDescent="0.25">
      <c r="A156" s="192"/>
      <c r="B156" s="40"/>
      <c r="C156" s="225" t="s">
        <v>279</v>
      </c>
      <c r="D156" s="314" t="s">
        <v>278</v>
      </c>
      <c r="E156" s="93"/>
      <c r="H156" s="180" t="s">
        <v>145</v>
      </c>
      <c r="I156" s="315"/>
      <c r="J156" s="315"/>
      <c r="K156" s="182" t="s">
        <v>154</v>
      </c>
      <c r="L156" s="312"/>
      <c r="M156" s="313"/>
      <c r="S156" s="4"/>
    </row>
    <row r="157" spans="1:19" ht="12.75" customHeight="1" x14ac:dyDescent="0.25">
      <c r="A157" s="199" t="s">
        <v>178</v>
      </c>
      <c r="B157" s="40"/>
      <c r="C157" s="68"/>
      <c r="D157" s="90">
        <v>0</v>
      </c>
      <c r="E157" s="245">
        <f>(C157*D157)*$C$14</f>
        <v>0</v>
      </c>
      <c r="H157" s="316" t="s">
        <v>146</v>
      </c>
      <c r="I157" s="315"/>
      <c r="J157" s="315"/>
      <c r="K157" s="315" t="s">
        <v>147</v>
      </c>
      <c r="L157" s="315"/>
      <c r="M157" s="317"/>
      <c r="S157" s="4"/>
    </row>
    <row r="158" spans="1:19" ht="12.75" customHeight="1" x14ac:dyDescent="0.25">
      <c r="A158" s="40"/>
      <c r="B158" s="40"/>
      <c r="C158" s="44"/>
      <c r="D158" s="226" t="s">
        <v>155</v>
      </c>
      <c r="E158" s="54" t="s">
        <v>240</v>
      </c>
      <c r="H158" s="316" t="s">
        <v>148</v>
      </c>
      <c r="I158" s="315"/>
      <c r="J158" s="315"/>
      <c r="K158" s="315" t="s">
        <v>149</v>
      </c>
      <c r="L158" s="315"/>
      <c r="M158" s="317"/>
      <c r="S158" s="4"/>
    </row>
    <row r="159" spans="1:19" ht="12.75" customHeight="1" x14ac:dyDescent="0.25">
      <c r="A159" s="40" t="s">
        <v>213</v>
      </c>
      <c r="B159" s="189"/>
      <c r="C159" s="42"/>
      <c r="D159" s="275">
        <v>0.1</v>
      </c>
      <c r="E159" s="251">
        <f>E16*D159</f>
        <v>79.800000000000011</v>
      </c>
      <c r="H159" s="316" t="s">
        <v>150</v>
      </c>
      <c r="I159" s="315"/>
      <c r="J159" s="315"/>
      <c r="K159" s="315" t="s">
        <v>151</v>
      </c>
      <c r="L159" s="315"/>
      <c r="M159" s="317"/>
      <c r="S159" s="4"/>
    </row>
    <row r="160" spans="1:19" ht="12.75" customHeight="1" x14ac:dyDescent="0.25">
      <c r="A160" s="138" t="s">
        <v>104</v>
      </c>
      <c r="B160" s="106"/>
      <c r="C160" s="139"/>
      <c r="D160" s="140"/>
      <c r="E160" s="141"/>
      <c r="F160" s="92"/>
      <c r="H160" s="318" t="s">
        <v>152</v>
      </c>
      <c r="I160" s="319"/>
      <c r="J160" s="319"/>
      <c r="K160" s="319" t="s">
        <v>153</v>
      </c>
      <c r="L160" s="319"/>
      <c r="M160" s="320"/>
      <c r="S160" s="4"/>
    </row>
    <row r="161" spans="1:19" ht="12.75" customHeight="1" x14ac:dyDescent="0.2">
      <c r="A161" s="40"/>
      <c r="B161" s="40"/>
      <c r="C161" s="225" t="s">
        <v>250</v>
      </c>
      <c r="D161" s="226" t="s">
        <v>249</v>
      </c>
      <c r="E161" s="54" t="s">
        <v>240</v>
      </c>
      <c r="G161" s="20"/>
      <c r="H161" s="190" t="s">
        <v>156</v>
      </c>
      <c r="S161" s="4"/>
    </row>
    <row r="162" spans="1:19" ht="12.75" customHeight="1" x14ac:dyDescent="0.2">
      <c r="A162" s="266" t="s">
        <v>45</v>
      </c>
      <c r="B162" s="267"/>
      <c r="C162" s="167">
        <v>1.5</v>
      </c>
      <c r="D162" s="90">
        <v>25</v>
      </c>
      <c r="E162" s="245">
        <f>C162*D162</f>
        <v>37.5</v>
      </c>
      <c r="S162" s="4"/>
    </row>
    <row r="163" spans="1:19" ht="12.75" customHeight="1" x14ac:dyDescent="0.2">
      <c r="A163" s="106"/>
      <c r="B163" s="112"/>
      <c r="C163" s="107"/>
      <c r="D163" s="108"/>
      <c r="E163" s="142"/>
      <c r="F163" s="92"/>
    </row>
    <row r="164" spans="1:19" ht="12.75" customHeight="1" x14ac:dyDescent="0.2">
      <c r="A164" s="33" t="s">
        <v>113</v>
      </c>
      <c r="C164" s="231">
        <v>7.4999999999999997E-2</v>
      </c>
      <c r="E164" s="241">
        <f>(C164*0.67)*(E103+(0.2*E117))</f>
        <v>32.784444187500007</v>
      </c>
      <c r="G164" s="86" t="s">
        <v>59</v>
      </c>
      <c r="H164" s="176"/>
      <c r="I164" s="87"/>
      <c r="J164" s="87"/>
      <c r="K164" s="87"/>
      <c r="L164" s="87"/>
      <c r="M164" s="88"/>
    </row>
    <row r="165" spans="1:19" ht="12.75" customHeight="1" x14ac:dyDescent="0.2">
      <c r="A165" s="15"/>
      <c r="E165" s="6"/>
      <c r="G165" s="4"/>
      <c r="H165" s="4"/>
      <c r="I165" s="45"/>
      <c r="J165" s="45"/>
      <c r="K165" s="4"/>
      <c r="L165" s="45"/>
      <c r="M165" s="45"/>
    </row>
    <row r="166" spans="1:19" ht="12.75" customHeight="1" x14ac:dyDescent="0.2">
      <c r="A166" s="33" t="s">
        <v>85</v>
      </c>
      <c r="B166" s="4"/>
      <c r="C166" s="44"/>
      <c r="D166" s="43"/>
      <c r="E166" s="243">
        <f>E16*0.05</f>
        <v>39.900000000000006</v>
      </c>
    </row>
    <row r="167" spans="1:19" ht="12.75" customHeight="1" x14ac:dyDescent="0.2">
      <c r="A167" s="20" t="s">
        <v>231</v>
      </c>
      <c r="C167" s="16"/>
      <c r="E167" s="243">
        <f>E103+E117+E151+E154+E155+E157+E159+E162+E164+E166</f>
        <v>1212.9804249567308</v>
      </c>
    </row>
    <row r="168" spans="1:19" ht="12.75" customHeight="1" x14ac:dyDescent="0.2">
      <c r="A168" s="20" t="s">
        <v>230</v>
      </c>
      <c r="D168" s="16"/>
      <c r="E168" s="243">
        <f>E16-E167</f>
        <v>-414.98042495673076</v>
      </c>
    </row>
    <row r="169" spans="1:19" ht="14.25" x14ac:dyDescent="0.2">
      <c r="A169" s="21"/>
      <c r="C169" s="54"/>
      <c r="D169" s="54"/>
      <c r="E169" s="55"/>
    </row>
    <row r="170" spans="1:19" x14ac:dyDescent="0.2">
      <c r="A170" s="33" t="s">
        <v>142</v>
      </c>
      <c r="B170" s="4"/>
      <c r="C170" s="42"/>
      <c r="D170" s="53"/>
      <c r="E170" s="252">
        <f>E167/C14</f>
        <v>57.760972616987182</v>
      </c>
    </row>
    <row r="171" spans="1:19" x14ac:dyDescent="0.2">
      <c r="A171" s="20" t="s">
        <v>205</v>
      </c>
      <c r="B171" s="4"/>
      <c r="E171" s="243">
        <f>E167/C15</f>
        <v>165.03135033424908</v>
      </c>
    </row>
    <row r="172" spans="1:19" x14ac:dyDescent="0.2">
      <c r="C172" s="355" t="s">
        <v>26</v>
      </c>
      <c r="D172" s="356"/>
      <c r="E172" s="356"/>
      <c r="F172" s="356"/>
      <c r="G172" s="357"/>
    </row>
    <row r="173" spans="1:19" x14ac:dyDescent="0.2">
      <c r="C173" s="74"/>
      <c r="D173" s="75"/>
      <c r="E173" s="75"/>
      <c r="F173" s="75"/>
      <c r="G173" s="76"/>
    </row>
    <row r="174" spans="1:19" x14ac:dyDescent="0.2">
      <c r="C174" s="355" t="s">
        <v>18</v>
      </c>
      <c r="D174" s="356"/>
      <c r="E174" s="356"/>
      <c r="F174" s="356"/>
      <c r="G174" s="357"/>
    </row>
    <row r="175" spans="1:19" x14ac:dyDescent="0.2">
      <c r="A175" s="358" t="s">
        <v>24</v>
      </c>
      <c r="B175" s="359"/>
      <c r="C175" s="23"/>
      <c r="D175" s="23"/>
      <c r="E175" s="23"/>
      <c r="F175" s="23"/>
      <c r="G175" s="23"/>
    </row>
    <row r="176" spans="1:19" x14ac:dyDescent="0.2">
      <c r="A176" s="258" t="s">
        <v>27</v>
      </c>
      <c r="B176" s="259" t="s">
        <v>70</v>
      </c>
      <c r="C176" s="355" t="s">
        <v>26</v>
      </c>
      <c r="D176" s="356"/>
      <c r="E176" s="356"/>
      <c r="F176" s="356"/>
      <c r="G176" s="357"/>
    </row>
    <row r="177" spans="1:7" x14ac:dyDescent="0.2">
      <c r="A177" s="24" t="s">
        <v>21</v>
      </c>
      <c r="B177" s="25">
        <f>C14*1.2</f>
        <v>25.2</v>
      </c>
      <c r="C177" s="347">
        <f>(C$182*$B177)-$E$167</f>
        <v>-446.90042495673072</v>
      </c>
      <c r="D177" s="347">
        <f>(D$182*B177)-$E$167</f>
        <v>-351.14042495673073</v>
      </c>
      <c r="E177" s="347">
        <f>(E$182*$B177)-E$167</f>
        <v>-255.38042495673074</v>
      </c>
      <c r="F177" s="347">
        <f>(F$182*$B177)-E$167</f>
        <v>-159.62042495673063</v>
      </c>
      <c r="G177" s="347">
        <f>(G$182*B177)-E$167</f>
        <v>-63.860424956730867</v>
      </c>
    </row>
    <row r="178" spans="1:7" x14ac:dyDescent="0.2">
      <c r="A178" s="24" t="s">
        <v>20</v>
      </c>
      <c r="B178" s="25">
        <f>C14*1.1</f>
        <v>23.1</v>
      </c>
      <c r="C178" s="347">
        <f>(C$182*B178)-$E$167</f>
        <v>-510.74042495673064</v>
      </c>
      <c r="D178" s="347">
        <f>(D$182*B178)-$E$167</f>
        <v>-422.96042495673066</v>
      </c>
      <c r="E178" s="347">
        <f>(E$182*$B178)-E$167</f>
        <v>-335.18042495673069</v>
      </c>
      <c r="F178" s="347">
        <f>(F$182*$B178)-E$167</f>
        <v>-247.4004249567306</v>
      </c>
      <c r="G178" s="347">
        <f>(G$182*B178)-E$167</f>
        <v>-159.62042495673063</v>
      </c>
    </row>
    <row r="179" spans="1:7" x14ac:dyDescent="0.2">
      <c r="A179" s="22"/>
      <c r="B179" s="25">
        <f>C14</f>
        <v>21</v>
      </c>
      <c r="C179" s="347">
        <f>(C$182*B179)-$E$167</f>
        <v>-574.58042495673067</v>
      </c>
      <c r="D179" s="347">
        <f>(D$182*B179)-$E$167</f>
        <v>-494.78042495673071</v>
      </c>
      <c r="E179" s="348">
        <f>(E$182*$B179)-E$167</f>
        <v>-414.98042495673076</v>
      </c>
      <c r="F179" s="347">
        <f>(F$182*$B179)-E$167</f>
        <v>-335.18042495673069</v>
      </c>
      <c r="G179" s="347">
        <f>(G$182*B179)-E$167</f>
        <v>-255.38042495673074</v>
      </c>
    </row>
    <row r="180" spans="1:7" x14ac:dyDescent="0.2">
      <c r="A180" s="24" t="s">
        <v>22</v>
      </c>
      <c r="B180" s="25">
        <f>C14*0.9</f>
        <v>18.900000000000002</v>
      </c>
      <c r="C180" s="347">
        <f>(C$182*B180)-$E$167</f>
        <v>-638.4204249567307</v>
      </c>
      <c r="D180" s="347">
        <f>(D$182*B180)-$E$167</f>
        <v>-566.60042495673065</v>
      </c>
      <c r="E180" s="347">
        <f>(E$182*$B180)-E$167</f>
        <v>-494.78042495673071</v>
      </c>
      <c r="F180" s="347">
        <f>(F$182*$B180)-E$167</f>
        <v>-422.96042495673055</v>
      </c>
      <c r="G180" s="347">
        <f>(G$182*B180)-E$167</f>
        <v>-351.14042495673061</v>
      </c>
    </row>
    <row r="181" spans="1:7" x14ac:dyDescent="0.2">
      <c r="A181" s="24" t="s">
        <v>23</v>
      </c>
      <c r="B181" s="25">
        <f>C14*0.8</f>
        <v>16.8</v>
      </c>
      <c r="C181" s="347">
        <f>(C$182*B181)-$E$167</f>
        <v>-702.26042495673073</v>
      </c>
      <c r="D181" s="347">
        <f>(D$182*B181)-$E$167</f>
        <v>-638.4204249567307</v>
      </c>
      <c r="E181" s="347">
        <f>(E$182*$B181)-E$167</f>
        <v>-574.58042495673078</v>
      </c>
      <c r="F181" s="347">
        <f>(F$182*$B181)-E$167</f>
        <v>-510.74042495673064</v>
      </c>
      <c r="G181" s="347">
        <f>(G$182*B181)-E$167</f>
        <v>-446.90042495673072</v>
      </c>
    </row>
    <row r="182" spans="1:7" x14ac:dyDescent="0.2">
      <c r="A182" s="257" t="s">
        <v>414</v>
      </c>
      <c r="B182" s="253"/>
      <c r="C182" s="254">
        <f>D14*0.8</f>
        <v>30.400000000000002</v>
      </c>
      <c r="D182" s="254">
        <f>D14*0.9</f>
        <v>34.200000000000003</v>
      </c>
      <c r="E182" s="254">
        <f>D14</f>
        <v>38</v>
      </c>
      <c r="F182" s="254">
        <f>D14*1.1</f>
        <v>41.800000000000004</v>
      </c>
      <c r="G182" s="254">
        <f>D14*1.2</f>
        <v>45.6</v>
      </c>
    </row>
    <row r="183" spans="1:7" x14ac:dyDescent="0.2">
      <c r="A183" s="257" t="s">
        <v>19</v>
      </c>
      <c r="B183" s="253"/>
      <c r="C183" s="255" t="s">
        <v>23</v>
      </c>
      <c r="D183" s="255" t="s">
        <v>22</v>
      </c>
      <c r="E183" s="256"/>
      <c r="F183" s="255" t="s">
        <v>20</v>
      </c>
      <c r="G183" s="255" t="s">
        <v>21</v>
      </c>
    </row>
  </sheetData>
  <sheetProtection algorithmName="SHA-512" hashValue="Cy/OXe/51n1kXemnZ1cOsZcJvAsQFPeNfEexl+jgjB5fhX33EMyzLrWlxbIBKdSoWc/syi6B+7S15URz7Vlj3A==" saltValue="8HkGfaIp4Z+9vCjFDMdDdA==" spinCount="100000" sheet="1" objects="1" scenarios="1"/>
  <mergeCells count="4">
    <mergeCell ref="C172:G172"/>
    <mergeCell ref="C174:G174"/>
    <mergeCell ref="A175:B175"/>
    <mergeCell ref="C176:G176"/>
  </mergeCells>
  <hyperlinks>
    <hyperlink ref="H121" r:id="rId1" xr:uid="{00000000-0004-0000-0300-000000000000}"/>
    <hyperlink ref="H128" r:id="rId2" xr:uid="{00000000-0004-0000-0300-000001000000}"/>
    <hyperlink ref="H122" r:id="rId3" xr:uid="{00000000-0004-0000-0300-000002000000}"/>
    <hyperlink ref="H125" r:id="rId4" xr:uid="{00000000-0004-0000-0300-000003000000}"/>
  </hyperlinks>
  <pageMargins left="0.7" right="0.7" top="0.75" bottom="0.75" header="0.3" footer="0.3"/>
  <pageSetup scale="43" fitToHeight="0" orientation="portrait" verticalDpi="0"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S155"/>
  <sheetViews>
    <sheetView zoomScaleNormal="100" workbookViewId="0">
      <selection activeCell="E14" sqref="E14"/>
    </sheetView>
  </sheetViews>
  <sheetFormatPr defaultColWidth="8.42578125" defaultRowHeight="12.75" x14ac:dyDescent="0.2"/>
  <cols>
    <col min="1" max="1" width="23.42578125" customWidth="1"/>
    <col min="2" max="2" width="15.85546875" customWidth="1"/>
    <col min="3" max="3" width="15.42578125" customWidth="1"/>
    <col min="4" max="4" width="14.7109375" customWidth="1"/>
    <col min="5" max="5" width="11.28515625" customWidth="1"/>
    <col min="6" max="6" width="9.7109375" customWidth="1"/>
    <col min="7" max="7" width="13.42578125" customWidth="1"/>
    <col min="8" max="9" width="7.42578125" customWidth="1"/>
    <col min="10" max="10" width="8.42578125" customWidth="1"/>
    <col min="11" max="11" width="8" customWidth="1"/>
  </cols>
  <sheetData>
    <row r="1" spans="1:9" ht="15.75" customHeight="1" x14ac:dyDescent="0.2">
      <c r="A1" s="20" t="s">
        <v>29</v>
      </c>
      <c r="E1" s="36"/>
    </row>
    <row r="2" spans="1:9" ht="8.25" customHeight="1" x14ac:dyDescent="0.2"/>
    <row r="3" spans="1:9" ht="15" customHeight="1" x14ac:dyDescent="0.2"/>
    <row r="4" spans="1:9" ht="8.25" customHeight="1" x14ac:dyDescent="0.2"/>
    <row r="5" spans="1:9" ht="18.75" customHeight="1" x14ac:dyDescent="0.25">
      <c r="A5" s="2" t="s">
        <v>317</v>
      </c>
      <c r="D5" s="19"/>
      <c r="E5" s="34"/>
    </row>
    <row r="6" spans="1:9" ht="5.25" customHeight="1" x14ac:dyDescent="0.2"/>
    <row r="7" spans="1:9" x14ac:dyDescent="0.2">
      <c r="A7" s="17" t="s">
        <v>83</v>
      </c>
      <c r="E7" s="67"/>
      <c r="I7" s="38"/>
    </row>
    <row r="8" spans="1:9" x14ac:dyDescent="0.2">
      <c r="A8" s="17" t="s">
        <v>228</v>
      </c>
      <c r="E8" s="242"/>
    </row>
    <row r="9" spans="1:9" x14ac:dyDescent="0.2">
      <c r="A9" s="17" t="s">
        <v>71</v>
      </c>
      <c r="E9" s="79"/>
    </row>
    <row r="10" spans="1:9" x14ac:dyDescent="0.2">
      <c r="A10" s="17"/>
      <c r="C10" s="3"/>
    </row>
    <row r="11" spans="1:9" ht="20.100000000000001" customHeight="1" x14ac:dyDescent="0.25">
      <c r="A11" s="2" t="s">
        <v>343</v>
      </c>
      <c r="B11" s="352" t="s">
        <v>418</v>
      </c>
      <c r="C11" s="353"/>
      <c r="D11" s="20"/>
    </row>
    <row r="12" spans="1:9" x14ac:dyDescent="0.2">
      <c r="A12" s="119" t="s">
        <v>37</v>
      </c>
      <c r="B12" s="117"/>
      <c r="C12" s="118"/>
      <c r="D12" s="117"/>
      <c r="E12" s="117"/>
      <c r="F12" s="92"/>
    </row>
    <row r="13" spans="1:9" x14ac:dyDescent="0.2">
      <c r="A13" s="17"/>
      <c r="C13" s="54" t="s">
        <v>234</v>
      </c>
      <c r="D13" s="7" t="s">
        <v>235</v>
      </c>
      <c r="E13" s="17" t="s">
        <v>236</v>
      </c>
    </row>
    <row r="14" spans="1:9" x14ac:dyDescent="0.2">
      <c r="A14" s="20" t="s">
        <v>38</v>
      </c>
      <c r="C14" s="68">
        <v>51</v>
      </c>
      <c r="D14" s="124">
        <v>9.36</v>
      </c>
      <c r="E14" s="241">
        <f>C14*D14</f>
        <v>477.35999999999996</v>
      </c>
    </row>
    <row r="15" spans="1:9" x14ac:dyDescent="0.2">
      <c r="A15" s="20" t="s">
        <v>248</v>
      </c>
      <c r="C15" s="3"/>
      <c r="E15" s="171">
        <v>0</v>
      </c>
    </row>
    <row r="16" spans="1:9" x14ac:dyDescent="0.2">
      <c r="A16" s="152" t="s">
        <v>199</v>
      </c>
      <c r="B16" s="159"/>
      <c r="C16" s="157"/>
      <c r="D16" s="159"/>
      <c r="E16" s="243">
        <f>E14+E15</f>
        <v>477.35999999999996</v>
      </c>
    </row>
    <row r="17" spans="1:18" x14ac:dyDescent="0.2">
      <c r="A17" s="119" t="s">
        <v>40</v>
      </c>
      <c r="B17" s="120"/>
      <c r="C17" s="121"/>
      <c r="D17" s="120"/>
      <c r="E17" s="120"/>
      <c r="F17" s="122"/>
    </row>
    <row r="18" spans="1:18" ht="12" customHeight="1" x14ac:dyDescent="0.2">
      <c r="A18" s="17"/>
      <c r="B18" s="4"/>
      <c r="C18" s="3"/>
      <c r="D18" s="4"/>
      <c r="E18" s="4"/>
    </row>
    <row r="19" spans="1:18" x14ac:dyDescent="0.2">
      <c r="A19" s="111" t="s">
        <v>4</v>
      </c>
      <c r="B19" s="92"/>
      <c r="C19" s="112"/>
      <c r="D19" s="112"/>
      <c r="E19" s="112"/>
      <c r="F19" s="92"/>
    </row>
    <row r="20" spans="1:18" ht="15" customHeight="1" x14ac:dyDescent="0.2">
      <c r="A20" s="98" t="s">
        <v>88</v>
      </c>
      <c r="B20" s="99"/>
      <c r="C20" s="100"/>
      <c r="D20" s="100"/>
      <c r="E20" s="100"/>
      <c r="F20" s="97"/>
      <c r="H20" s="17"/>
      <c r="J20" s="17"/>
      <c r="M20" s="20"/>
    </row>
    <row r="21" spans="1:18" x14ac:dyDescent="0.2">
      <c r="A21" s="33"/>
      <c r="B21" s="7" t="s">
        <v>237</v>
      </c>
      <c r="C21" s="7" t="s">
        <v>238</v>
      </c>
      <c r="D21" s="7" t="s">
        <v>239</v>
      </c>
      <c r="E21" s="7" t="s">
        <v>240</v>
      </c>
      <c r="G21" s="65"/>
      <c r="H21" s="17"/>
      <c r="J21" s="17"/>
      <c r="K21" s="17"/>
      <c r="M21" s="20"/>
    </row>
    <row r="22" spans="1:18" x14ac:dyDescent="0.2">
      <c r="A22" s="39" t="s">
        <v>303</v>
      </c>
      <c r="B22" s="207"/>
      <c r="C22" s="78"/>
      <c r="D22" s="90">
        <v>758</v>
      </c>
      <c r="E22" s="244">
        <f>((D22/2000)*B22*C22)</f>
        <v>0</v>
      </c>
      <c r="G22" s="48"/>
      <c r="H22" s="6"/>
      <c r="I22" s="48"/>
      <c r="J22" s="6"/>
      <c r="O22" s="20"/>
      <c r="P22" s="20"/>
      <c r="Q22" s="20"/>
      <c r="R22" s="20"/>
    </row>
    <row r="23" spans="1:18" x14ac:dyDescent="0.2">
      <c r="A23" s="39"/>
      <c r="B23" s="40"/>
      <c r="C23" s="47"/>
      <c r="D23" s="10"/>
      <c r="E23" s="46"/>
      <c r="G23" s="48"/>
      <c r="H23" s="6"/>
      <c r="I23" s="48"/>
      <c r="J23" s="6"/>
      <c r="O23" s="20"/>
      <c r="P23" s="20"/>
      <c r="Q23" s="20"/>
      <c r="R23" s="20"/>
    </row>
    <row r="24" spans="1:18" x14ac:dyDescent="0.2">
      <c r="A24" s="33"/>
      <c r="C24" s="7" t="s">
        <v>241</v>
      </c>
      <c r="D24" s="7" t="s">
        <v>239</v>
      </c>
      <c r="E24" s="7" t="s">
        <v>240</v>
      </c>
      <c r="G24" s="65"/>
      <c r="H24" s="17"/>
      <c r="J24" s="17"/>
      <c r="K24" s="17"/>
      <c r="M24" s="20"/>
    </row>
    <row r="25" spans="1:18" x14ac:dyDescent="0.2">
      <c r="A25" s="208" t="s">
        <v>66</v>
      </c>
      <c r="B25" s="4"/>
      <c r="C25" s="68">
        <v>0</v>
      </c>
      <c r="D25" s="90">
        <v>635</v>
      </c>
      <c r="E25" s="245">
        <f>C25*(D25/2000)</f>
        <v>0</v>
      </c>
      <c r="G25" s="5"/>
      <c r="H25" s="1"/>
      <c r="J25" s="56"/>
    </row>
    <row r="26" spans="1:18" x14ac:dyDescent="0.2">
      <c r="A26" s="208" t="s">
        <v>66</v>
      </c>
      <c r="B26" s="4"/>
      <c r="C26" s="77"/>
      <c r="D26" s="90">
        <v>0</v>
      </c>
      <c r="E26" s="246">
        <f>C26*(D26/2000)</f>
        <v>0</v>
      </c>
      <c r="G26" s="5"/>
      <c r="H26" s="1"/>
      <c r="J26" s="56"/>
    </row>
    <row r="27" spans="1:18" x14ac:dyDescent="0.2">
      <c r="A27" s="209" t="s">
        <v>66</v>
      </c>
      <c r="B27" s="4"/>
      <c r="C27" s="77"/>
      <c r="D27" s="193">
        <v>0</v>
      </c>
      <c r="E27" s="246">
        <f>C27*(D27/2000)</f>
        <v>0</v>
      </c>
      <c r="G27" s="5"/>
      <c r="H27" s="1"/>
      <c r="J27" s="56"/>
    </row>
    <row r="28" spans="1:18" x14ac:dyDescent="0.2">
      <c r="A28" s="208"/>
      <c r="B28" s="4"/>
      <c r="C28" s="68"/>
      <c r="D28" s="90">
        <v>0</v>
      </c>
      <c r="E28" s="245">
        <f>C28*(D28/2000)</f>
        <v>0</v>
      </c>
      <c r="G28" s="5"/>
      <c r="H28" s="1"/>
      <c r="J28" s="56"/>
    </row>
    <row r="29" spans="1:18" x14ac:dyDescent="0.2">
      <c r="A29" s="94"/>
      <c r="B29" s="4"/>
      <c r="C29" s="42"/>
      <c r="D29" s="93"/>
      <c r="E29" s="93"/>
      <c r="G29" s="5"/>
      <c r="H29" s="1"/>
      <c r="J29" s="56"/>
    </row>
    <row r="30" spans="1:18" ht="14.25" customHeight="1" x14ac:dyDescent="0.2">
      <c r="A30" s="95" t="s">
        <v>135</v>
      </c>
      <c r="B30" s="96"/>
      <c r="C30" s="160"/>
      <c r="D30" s="161"/>
      <c r="E30" s="161"/>
      <c r="F30" s="97"/>
    </row>
    <row r="31" spans="1:18" ht="14.25" customHeight="1" x14ac:dyDescent="0.2">
      <c r="A31" s="82" t="s">
        <v>136</v>
      </c>
      <c r="B31" s="81"/>
      <c r="C31" s="42"/>
      <c r="D31" s="93"/>
      <c r="E31" s="90">
        <v>0</v>
      </c>
      <c r="G31" s="5"/>
      <c r="H31" s="6"/>
      <c r="I31" s="6"/>
      <c r="J31" s="6"/>
      <c r="K31" s="6"/>
    </row>
    <row r="32" spans="1:18" ht="14.25" x14ac:dyDescent="0.25">
      <c r="A32" s="32"/>
      <c r="B32" s="4"/>
      <c r="C32" s="7" t="s">
        <v>193</v>
      </c>
      <c r="D32" s="223" t="s">
        <v>265</v>
      </c>
      <c r="E32" s="55"/>
      <c r="G32" s="65"/>
      <c r="I32" s="6"/>
    </row>
    <row r="33" spans="1:12" x14ac:dyDescent="0.2">
      <c r="A33" s="94" t="s">
        <v>49</v>
      </c>
      <c r="C33" s="68">
        <v>40</v>
      </c>
      <c r="D33" s="210">
        <v>0.81</v>
      </c>
      <c r="E33" s="247">
        <f t="shared" ref="E33" si="0">C33*D33</f>
        <v>32.400000000000006</v>
      </c>
      <c r="G33" s="48"/>
      <c r="H33" s="6"/>
    </row>
    <row r="34" spans="1:12" ht="14.25" customHeight="1" x14ac:dyDescent="0.25">
      <c r="A34" s="39"/>
      <c r="B34" s="4"/>
      <c r="C34" s="7" t="s">
        <v>194</v>
      </c>
      <c r="D34" s="223" t="s">
        <v>264</v>
      </c>
      <c r="E34" s="55"/>
      <c r="G34" s="5"/>
      <c r="H34" s="6"/>
      <c r="K34" s="17"/>
    </row>
    <row r="35" spans="1:12" ht="14.25" customHeight="1" x14ac:dyDescent="0.2">
      <c r="A35" s="94" t="s">
        <v>41</v>
      </c>
      <c r="C35" s="68">
        <v>70</v>
      </c>
      <c r="D35" s="90">
        <v>0.43</v>
      </c>
      <c r="E35" s="245">
        <f>C35*D35</f>
        <v>30.099999999999998</v>
      </c>
      <c r="G35" s="72"/>
      <c r="H35" s="16"/>
      <c r="I35" s="73"/>
      <c r="J35" s="73"/>
      <c r="K35" s="7"/>
      <c r="L35" s="7"/>
    </row>
    <row r="36" spans="1:12" ht="14.25" customHeight="1" x14ac:dyDescent="0.2">
      <c r="C36" s="12"/>
      <c r="G36" s="5"/>
      <c r="H36" s="1"/>
      <c r="I36" s="1"/>
      <c r="J36" s="1"/>
      <c r="K36" s="1"/>
      <c r="L36" s="1"/>
    </row>
    <row r="37" spans="1:12" ht="14.25" customHeight="1" x14ac:dyDescent="0.2">
      <c r="A37" s="199" t="s">
        <v>133</v>
      </c>
      <c r="B37" s="4"/>
      <c r="C37" s="9"/>
      <c r="D37" s="10"/>
      <c r="E37" s="90">
        <v>0</v>
      </c>
      <c r="G37" s="5"/>
      <c r="H37" s="6"/>
      <c r="I37" s="6"/>
      <c r="J37" s="6"/>
      <c r="K37" s="6"/>
      <c r="L37" s="6"/>
    </row>
    <row r="38" spans="1:12" ht="14.25" customHeight="1" x14ac:dyDescent="0.2">
      <c r="A38" s="166"/>
      <c r="B38" s="4"/>
      <c r="C38" s="9"/>
      <c r="D38" s="10"/>
      <c r="E38" s="102"/>
      <c r="G38" s="5"/>
      <c r="H38" s="6"/>
      <c r="I38" s="6"/>
      <c r="J38" s="6"/>
      <c r="K38" s="6"/>
      <c r="L38" s="6"/>
    </row>
    <row r="39" spans="1:12" ht="14.25" customHeight="1" x14ac:dyDescent="0.2">
      <c r="A39" s="199" t="s">
        <v>207</v>
      </c>
      <c r="B39" s="4"/>
      <c r="C39" s="9"/>
      <c r="D39" s="10"/>
      <c r="E39" s="90">
        <v>0</v>
      </c>
      <c r="G39" s="5"/>
      <c r="H39" s="6"/>
      <c r="I39" s="6"/>
      <c r="J39" s="6"/>
      <c r="K39" s="6"/>
      <c r="L39" s="6"/>
    </row>
    <row r="40" spans="1:12" ht="14.25" customHeight="1" x14ac:dyDescent="0.2">
      <c r="A40" s="199" t="s">
        <v>7</v>
      </c>
      <c r="B40" s="4"/>
      <c r="C40" s="9"/>
      <c r="D40" s="10"/>
      <c r="E40" s="90">
        <v>0</v>
      </c>
      <c r="G40" s="5"/>
      <c r="H40" s="6"/>
      <c r="I40" s="6"/>
      <c r="J40" s="6"/>
      <c r="K40" s="6"/>
      <c r="L40" s="6"/>
    </row>
    <row r="41" spans="1:12" ht="14.25" customHeight="1" x14ac:dyDescent="0.2">
      <c r="A41" s="199"/>
      <c r="B41" s="4"/>
      <c r="C41" s="9"/>
      <c r="D41" s="10"/>
      <c r="E41" s="90">
        <v>0</v>
      </c>
      <c r="G41" s="5"/>
      <c r="H41" s="6"/>
      <c r="I41" s="6"/>
      <c r="J41" s="6"/>
      <c r="K41" s="6"/>
      <c r="L41" s="6"/>
    </row>
    <row r="42" spans="1:12" ht="14.25" customHeight="1" x14ac:dyDescent="0.2">
      <c r="A42" s="33" t="s">
        <v>247</v>
      </c>
      <c r="B42" s="101"/>
      <c r="C42" s="219" t="s">
        <v>72</v>
      </c>
      <c r="D42" s="54" t="s">
        <v>255</v>
      </c>
      <c r="E42" s="10"/>
      <c r="G42" s="5"/>
      <c r="H42" s="6"/>
      <c r="I42" s="6"/>
      <c r="J42" s="6"/>
      <c r="K42" s="6"/>
      <c r="L42" s="6"/>
    </row>
    <row r="43" spans="1:12" ht="14.25" customHeight="1" x14ac:dyDescent="0.2">
      <c r="A43" s="199" t="s">
        <v>138</v>
      </c>
      <c r="B43" s="4"/>
      <c r="C43" s="68">
        <v>1</v>
      </c>
      <c r="D43" s="90">
        <v>9</v>
      </c>
      <c r="E43" s="245">
        <f>D43*C43</f>
        <v>9</v>
      </c>
      <c r="G43" s="5"/>
      <c r="H43" s="6"/>
      <c r="I43" s="6"/>
      <c r="J43" s="6"/>
      <c r="K43" s="6"/>
      <c r="L43" s="6"/>
    </row>
    <row r="44" spans="1:12" ht="14.25" customHeight="1" x14ac:dyDescent="0.2">
      <c r="A44" s="199" t="s">
        <v>89</v>
      </c>
      <c r="B44" s="4"/>
      <c r="C44" s="68">
        <v>0</v>
      </c>
      <c r="D44" s="90"/>
      <c r="E44" s="245">
        <f t="shared" ref="E44:E45" si="1">D44*C44</f>
        <v>0</v>
      </c>
      <c r="G44" s="5"/>
      <c r="H44" s="6"/>
      <c r="I44" s="6"/>
      <c r="J44" s="6"/>
      <c r="K44" s="6"/>
      <c r="L44" s="6"/>
    </row>
    <row r="45" spans="1:12" ht="14.25" customHeight="1" x14ac:dyDescent="0.2">
      <c r="A45" s="199"/>
      <c r="B45" s="4"/>
      <c r="C45" s="68">
        <v>0</v>
      </c>
      <c r="D45" s="90"/>
      <c r="E45" s="245">
        <f t="shared" si="1"/>
        <v>0</v>
      </c>
      <c r="G45" s="5"/>
      <c r="H45" s="6"/>
      <c r="I45" s="6"/>
      <c r="J45" s="6"/>
      <c r="K45" s="6"/>
      <c r="L45" s="6"/>
    </row>
    <row r="46" spans="1:12" ht="14.25" customHeight="1" x14ac:dyDescent="0.2">
      <c r="A46" s="33"/>
      <c r="B46" s="4"/>
      <c r="C46" s="9"/>
      <c r="D46" s="10"/>
      <c r="E46" s="10"/>
      <c r="G46" s="5"/>
      <c r="H46" s="6"/>
      <c r="I46" s="6"/>
      <c r="J46" s="6"/>
      <c r="K46" s="6"/>
      <c r="L46" s="6"/>
    </row>
    <row r="47" spans="1:12" x14ac:dyDescent="0.2">
      <c r="B47" s="7" t="s">
        <v>262</v>
      </c>
      <c r="C47" s="7" t="s">
        <v>263</v>
      </c>
      <c r="D47" s="54" t="s">
        <v>239</v>
      </c>
      <c r="E47" s="54" t="s">
        <v>240</v>
      </c>
    </row>
    <row r="48" spans="1:12" x14ac:dyDescent="0.2">
      <c r="A48" s="4" t="s">
        <v>80</v>
      </c>
      <c r="B48" s="211">
        <v>1</v>
      </c>
      <c r="C48" s="69">
        <v>0</v>
      </c>
      <c r="D48" s="124">
        <v>0</v>
      </c>
      <c r="E48" s="245">
        <f>(D48*C48)/B48</f>
        <v>0</v>
      </c>
      <c r="H48" s="80"/>
    </row>
    <row r="49" spans="1:8" x14ac:dyDescent="0.2">
      <c r="A49" s="15"/>
      <c r="B49" s="40"/>
      <c r="C49" s="125"/>
      <c r="D49" s="224" t="s">
        <v>240</v>
      </c>
      <c r="E49" s="102"/>
      <c r="H49" s="80"/>
    </row>
    <row r="50" spans="1:8" x14ac:dyDescent="0.2">
      <c r="A50" s="33" t="s">
        <v>98</v>
      </c>
      <c r="B50" s="4"/>
      <c r="C50" s="123"/>
      <c r="D50" s="124">
        <v>0</v>
      </c>
      <c r="E50" s="245">
        <f>D50/B48</f>
        <v>0</v>
      </c>
      <c r="H50" s="80"/>
    </row>
    <row r="51" spans="1:8" x14ac:dyDescent="0.2">
      <c r="A51" s="15"/>
      <c r="B51" s="84"/>
      <c r="C51" s="20"/>
      <c r="D51" s="1"/>
      <c r="E51" s="6"/>
      <c r="H51" s="80"/>
    </row>
    <row r="52" spans="1:8" x14ac:dyDescent="0.2">
      <c r="A52" s="152" t="s">
        <v>197</v>
      </c>
      <c r="B52" s="159"/>
      <c r="C52" s="159"/>
      <c r="D52" s="159"/>
      <c r="E52" s="243">
        <f>SUM(E22:E51)</f>
        <v>71.5</v>
      </c>
      <c r="G52" s="33"/>
      <c r="H52" s="33"/>
    </row>
    <row r="53" spans="1:8" x14ac:dyDescent="0.2">
      <c r="A53" s="111" t="s">
        <v>94</v>
      </c>
      <c r="B53" s="92"/>
      <c r="C53" s="92"/>
      <c r="D53" s="92"/>
      <c r="E53" s="92"/>
      <c r="F53" s="92"/>
      <c r="G53" s="33"/>
      <c r="H53" s="33"/>
    </row>
    <row r="54" spans="1:8" x14ac:dyDescent="0.2">
      <c r="A54" s="18"/>
      <c r="B54" s="4"/>
      <c r="C54" s="54" t="s">
        <v>259</v>
      </c>
      <c r="D54" s="54" t="s">
        <v>258</v>
      </c>
      <c r="E54" s="54" t="s">
        <v>240</v>
      </c>
      <c r="G54" s="33"/>
      <c r="H54" s="33"/>
    </row>
    <row r="55" spans="1:8" x14ac:dyDescent="0.2">
      <c r="A55" s="5" t="s">
        <v>139</v>
      </c>
      <c r="B55" s="40"/>
      <c r="C55" s="212">
        <v>143000</v>
      </c>
      <c r="D55" s="169">
        <v>60</v>
      </c>
      <c r="E55" s="245">
        <f>+C55*(D55/140000)</f>
        <v>61.285714285714285</v>
      </c>
      <c r="G55" s="33"/>
      <c r="H55" s="33"/>
    </row>
    <row r="56" spans="1:8" x14ac:dyDescent="0.2">
      <c r="A56" s="5"/>
      <c r="B56" s="5"/>
      <c r="C56" s="7" t="s">
        <v>260</v>
      </c>
      <c r="D56" s="54" t="s">
        <v>261</v>
      </c>
      <c r="E56" s="54" t="s">
        <v>240</v>
      </c>
    </row>
    <row r="57" spans="1:8" x14ac:dyDescent="0.2">
      <c r="A57" s="48" t="s">
        <v>81</v>
      </c>
      <c r="B57" s="48"/>
      <c r="C57" s="68">
        <v>25</v>
      </c>
      <c r="D57" s="169">
        <v>1.5</v>
      </c>
      <c r="E57" s="324">
        <f>D57*C57</f>
        <v>37.5</v>
      </c>
    </row>
    <row r="58" spans="1:8" x14ac:dyDescent="0.2">
      <c r="A58" s="48"/>
      <c r="B58" s="48"/>
      <c r="C58" s="42"/>
      <c r="D58" s="327"/>
      <c r="E58" s="163"/>
    </row>
    <row r="59" spans="1:8" x14ac:dyDescent="0.2">
      <c r="A59" s="48" t="s">
        <v>81</v>
      </c>
      <c r="B59" s="48"/>
      <c r="C59" s="68"/>
      <c r="D59" s="169"/>
      <c r="E59" s="324">
        <f>D59*C59</f>
        <v>0</v>
      </c>
    </row>
    <row r="60" spans="1:8" x14ac:dyDescent="0.2">
      <c r="A60" s="146" t="s">
        <v>196</v>
      </c>
      <c r="B60" s="153"/>
      <c r="C60" s="158"/>
      <c r="D60" s="157"/>
      <c r="E60" s="249">
        <f>E55+E57+E59</f>
        <v>98.785714285714278</v>
      </c>
    </row>
    <row r="61" spans="1:8" x14ac:dyDescent="0.2">
      <c r="A61" s="110" t="s">
        <v>92</v>
      </c>
      <c r="B61" s="106"/>
      <c r="C61" s="107"/>
      <c r="D61" s="108"/>
      <c r="E61" s="145"/>
      <c r="F61" s="92"/>
    </row>
    <row r="62" spans="1:8" x14ac:dyDescent="0.2">
      <c r="A62" s="65" t="s">
        <v>2</v>
      </c>
      <c r="B62" s="4"/>
      <c r="C62" s="162"/>
      <c r="D62" s="83"/>
      <c r="E62" s="54" t="s">
        <v>240</v>
      </c>
      <c r="G62" s="31"/>
      <c r="H62" s="31"/>
    </row>
    <row r="63" spans="1:8" x14ac:dyDescent="0.2">
      <c r="A63" s="33" t="s">
        <v>126</v>
      </c>
      <c r="B63" s="4"/>
      <c r="C63" s="162"/>
      <c r="D63" s="83"/>
      <c r="E63" s="213"/>
      <c r="G63" s="31"/>
      <c r="H63" s="31"/>
    </row>
    <row r="64" spans="1:8" x14ac:dyDescent="0.2">
      <c r="A64" s="40" t="s">
        <v>99</v>
      </c>
      <c r="B64" s="4"/>
      <c r="C64" s="162"/>
      <c r="D64" s="83"/>
      <c r="E64" s="90"/>
      <c r="G64" s="31"/>
      <c r="H64" s="31"/>
    </row>
    <row r="65" spans="1:8" x14ac:dyDescent="0.2">
      <c r="A65" s="33" t="s">
        <v>127</v>
      </c>
      <c r="B65" s="4"/>
      <c r="C65" s="9"/>
      <c r="D65" s="163"/>
      <c r="E65" s="90">
        <v>25</v>
      </c>
      <c r="G65" s="31"/>
      <c r="H65" s="31"/>
    </row>
    <row r="66" spans="1:8" x14ac:dyDescent="0.2">
      <c r="A66" s="40" t="s">
        <v>99</v>
      </c>
      <c r="B66" s="4"/>
      <c r="C66" s="9"/>
      <c r="D66" s="163"/>
      <c r="E66" s="90">
        <v>9</v>
      </c>
      <c r="G66" s="31"/>
      <c r="H66" s="31"/>
    </row>
    <row r="67" spans="1:8" x14ac:dyDescent="0.2">
      <c r="A67" s="33" t="s">
        <v>128</v>
      </c>
      <c r="B67" s="4"/>
      <c r="C67" s="9"/>
      <c r="D67" s="163"/>
      <c r="E67" s="90">
        <v>25</v>
      </c>
      <c r="G67" s="31"/>
      <c r="H67" s="31"/>
    </row>
    <row r="68" spans="1:8" x14ac:dyDescent="0.2">
      <c r="A68" s="40" t="s">
        <v>99</v>
      </c>
      <c r="B68" s="4"/>
      <c r="C68" s="9"/>
      <c r="D68" s="163"/>
      <c r="E68" s="90">
        <v>9</v>
      </c>
      <c r="G68" s="31"/>
      <c r="H68" s="31"/>
    </row>
    <row r="69" spans="1:8" x14ac:dyDescent="0.2">
      <c r="A69" s="143" t="s">
        <v>129</v>
      </c>
      <c r="B69" s="3"/>
      <c r="C69" s="42"/>
      <c r="D69" s="164"/>
      <c r="E69" s="90"/>
      <c r="G69" s="30"/>
      <c r="H69" s="30"/>
    </row>
    <row r="70" spans="1:8" x14ac:dyDescent="0.2">
      <c r="A70" s="37" t="s">
        <v>99</v>
      </c>
      <c r="B70" s="3"/>
      <c r="C70" s="42"/>
      <c r="D70" s="164"/>
      <c r="E70" s="90"/>
      <c r="G70" s="20"/>
      <c r="H70" s="20"/>
    </row>
    <row r="71" spans="1:8" x14ac:dyDescent="0.2">
      <c r="A71" s="65" t="s">
        <v>8</v>
      </c>
      <c r="B71" s="4"/>
      <c r="C71" s="9"/>
      <c r="D71" s="3"/>
      <c r="E71" s="169"/>
    </row>
    <row r="72" spans="1:8" x14ac:dyDescent="0.2">
      <c r="A72" s="40" t="s">
        <v>130</v>
      </c>
      <c r="B72" s="4"/>
      <c r="C72" s="9"/>
      <c r="D72" s="3"/>
      <c r="E72" s="169"/>
    </row>
    <row r="73" spans="1:8" x14ac:dyDescent="0.2">
      <c r="A73" s="40" t="s">
        <v>99</v>
      </c>
      <c r="B73" s="4"/>
      <c r="C73" s="9"/>
      <c r="D73" s="3"/>
      <c r="E73" s="169"/>
    </row>
    <row r="74" spans="1:8" x14ac:dyDescent="0.2">
      <c r="A74" s="37" t="s">
        <v>131</v>
      </c>
      <c r="B74" s="3"/>
      <c r="C74" s="42"/>
      <c r="D74" s="164"/>
      <c r="E74" s="90"/>
    </row>
    <row r="75" spans="1:8" x14ac:dyDescent="0.2">
      <c r="A75" s="37" t="s">
        <v>99</v>
      </c>
      <c r="B75" s="3"/>
      <c r="C75" s="42"/>
      <c r="D75" s="164"/>
      <c r="E75" s="90"/>
    </row>
    <row r="76" spans="1:8" x14ac:dyDescent="0.2">
      <c r="A76" s="65" t="s">
        <v>12</v>
      </c>
      <c r="B76" s="4"/>
      <c r="C76" s="9"/>
      <c r="D76" s="3"/>
      <c r="E76" s="169"/>
    </row>
    <row r="77" spans="1:8" ht="13.5" customHeight="1" x14ac:dyDescent="0.2">
      <c r="A77" s="143" t="s">
        <v>132</v>
      </c>
      <c r="B77" s="3"/>
      <c r="C77" s="42"/>
      <c r="D77" s="164"/>
      <c r="E77" s="90"/>
      <c r="H77" s="20"/>
    </row>
    <row r="78" spans="1:8" x14ac:dyDescent="0.2">
      <c r="A78" s="37" t="s">
        <v>99</v>
      </c>
      <c r="B78" s="3"/>
      <c r="C78" s="42"/>
      <c r="D78" s="164"/>
      <c r="E78" s="90"/>
    </row>
    <row r="79" spans="1:8" x14ac:dyDescent="0.2">
      <c r="A79" s="143" t="s">
        <v>30</v>
      </c>
      <c r="B79" s="3"/>
      <c r="C79" s="42"/>
      <c r="D79" s="164"/>
      <c r="E79" s="90"/>
    </row>
    <row r="80" spans="1:8" x14ac:dyDescent="0.2">
      <c r="A80" s="143" t="s">
        <v>31</v>
      </c>
      <c r="B80" s="3"/>
      <c r="C80" s="42"/>
      <c r="D80" s="164"/>
      <c r="E80" s="90"/>
    </row>
    <row r="81" spans="1:8" x14ac:dyDescent="0.2">
      <c r="A81" s="156" t="s">
        <v>198</v>
      </c>
      <c r="B81" s="157"/>
      <c r="C81" s="148"/>
      <c r="D81" s="165"/>
      <c r="E81" s="250">
        <f>SUM(E63:E80)</f>
        <v>68</v>
      </c>
    </row>
    <row r="82" spans="1:8" x14ac:dyDescent="0.2">
      <c r="A82" s="131" t="s">
        <v>10</v>
      </c>
      <c r="B82" s="105"/>
      <c r="C82" s="130"/>
      <c r="D82" s="109"/>
      <c r="E82" s="109"/>
      <c r="F82" s="92"/>
    </row>
    <row r="83" spans="1:8" x14ac:dyDescent="0.2">
      <c r="A83" s="144"/>
      <c r="B83" s="3"/>
      <c r="C83" s="9"/>
      <c r="D83" s="10"/>
      <c r="E83" s="54" t="s">
        <v>240</v>
      </c>
    </row>
    <row r="84" spans="1:8" x14ac:dyDescent="0.2">
      <c r="A84" s="143" t="s">
        <v>118</v>
      </c>
      <c r="B84" s="3"/>
      <c r="C84" s="42"/>
      <c r="D84" s="43"/>
      <c r="E84" s="90"/>
    </row>
    <row r="85" spans="1:8" x14ac:dyDescent="0.2">
      <c r="A85" s="143"/>
      <c r="B85" s="3"/>
      <c r="C85" s="225" t="s">
        <v>116</v>
      </c>
      <c r="D85" s="226" t="s">
        <v>257</v>
      </c>
      <c r="E85" s="54" t="s">
        <v>240</v>
      </c>
    </row>
    <row r="86" spans="1:8" x14ac:dyDescent="0.2">
      <c r="A86" s="20" t="s">
        <v>115</v>
      </c>
      <c r="B86" s="5"/>
      <c r="C86" s="150">
        <v>0</v>
      </c>
      <c r="D86" s="151">
        <v>5.5</v>
      </c>
      <c r="E86" s="246">
        <f>+C86*D86</f>
        <v>0</v>
      </c>
    </row>
    <row r="87" spans="1:8" x14ac:dyDescent="0.2">
      <c r="A87" s="152" t="s">
        <v>117</v>
      </c>
      <c r="B87" s="153"/>
      <c r="C87" s="154"/>
      <c r="D87" s="155"/>
      <c r="E87" s="250">
        <f>E86+E84</f>
        <v>0</v>
      </c>
    </row>
    <row r="88" spans="1:8" ht="15" x14ac:dyDescent="0.25">
      <c r="A88" s="110" t="s">
        <v>93</v>
      </c>
      <c r="B88" s="103"/>
      <c r="C88" s="104"/>
      <c r="D88" s="105"/>
      <c r="E88" s="105"/>
      <c r="F88" s="92"/>
      <c r="H88" s="129"/>
    </row>
    <row r="89" spans="1:8" ht="13.5" customHeight="1" x14ac:dyDescent="0.2">
      <c r="A89" s="18"/>
      <c r="B89" s="4"/>
      <c r="C89" s="3"/>
      <c r="D89" s="3"/>
      <c r="E89" s="54" t="s">
        <v>240</v>
      </c>
    </row>
    <row r="90" spans="1:8" ht="13.5" customHeight="1" x14ac:dyDescent="0.2">
      <c r="A90" s="33" t="s">
        <v>232</v>
      </c>
      <c r="B90" s="4"/>
      <c r="C90" s="3"/>
      <c r="D90" s="3"/>
      <c r="E90" s="173">
        <v>185</v>
      </c>
    </row>
    <row r="91" spans="1:8" x14ac:dyDescent="0.2">
      <c r="A91" s="33" t="s">
        <v>28</v>
      </c>
      <c r="B91" s="4"/>
      <c r="C91" s="42"/>
      <c r="D91" s="43"/>
      <c r="E91" s="90">
        <v>25</v>
      </c>
    </row>
    <row r="92" spans="1:8" x14ac:dyDescent="0.2">
      <c r="A92" s="33" t="s">
        <v>102</v>
      </c>
      <c r="B92" s="4"/>
      <c r="C92" s="42"/>
      <c r="D92" s="43"/>
      <c r="E92" s="90">
        <v>0</v>
      </c>
    </row>
    <row r="93" spans="1:8" ht="15" x14ac:dyDescent="0.25">
      <c r="A93" s="33" t="s">
        <v>91</v>
      </c>
      <c r="B93" s="40" t="s">
        <v>233</v>
      </c>
      <c r="C93" s="42"/>
      <c r="D93" s="43"/>
      <c r="E93" s="90">
        <v>0</v>
      </c>
      <c r="H93" s="128"/>
    </row>
    <row r="94" spans="1:8" ht="15" x14ac:dyDescent="0.25">
      <c r="A94" s="33" t="s">
        <v>101</v>
      </c>
      <c r="B94" s="40"/>
      <c r="C94" s="42"/>
      <c r="D94" s="43"/>
      <c r="E94" s="193">
        <v>2.5</v>
      </c>
      <c r="H94" s="128"/>
    </row>
    <row r="95" spans="1:8" x14ac:dyDescent="0.2">
      <c r="A95" s="146" t="s">
        <v>120</v>
      </c>
      <c r="B95" s="147"/>
      <c r="C95" s="148"/>
      <c r="D95" s="149"/>
      <c r="E95" s="250">
        <f>SUM(E90:E94)</f>
        <v>212.5</v>
      </c>
    </row>
    <row r="96" spans="1:8" x14ac:dyDescent="0.2">
      <c r="A96" s="92"/>
      <c r="B96" s="103"/>
      <c r="C96" s="135"/>
      <c r="D96" s="136"/>
      <c r="E96" s="133"/>
      <c r="F96" s="92"/>
    </row>
    <row r="97" spans="1:8" x14ac:dyDescent="0.2">
      <c r="A97" s="14" t="s">
        <v>11</v>
      </c>
      <c r="B97" s="3"/>
      <c r="C97" s="9"/>
      <c r="D97" s="10"/>
      <c r="E97" s="250">
        <f>E52+E60+E81+E87+E95</f>
        <v>450.78571428571428</v>
      </c>
    </row>
    <row r="98" spans="1:8" x14ac:dyDescent="0.2">
      <c r="A98" s="14"/>
      <c r="B98" s="3"/>
      <c r="C98" s="9"/>
      <c r="D98" s="10"/>
      <c r="E98" s="126"/>
    </row>
    <row r="99" spans="1:8" x14ac:dyDescent="0.2">
      <c r="A99" s="111" t="s">
        <v>100</v>
      </c>
      <c r="B99" s="92"/>
      <c r="C99" s="127"/>
      <c r="D99" s="103"/>
      <c r="E99" s="92"/>
      <c r="F99" s="92"/>
    </row>
    <row r="100" spans="1:8" x14ac:dyDescent="0.2">
      <c r="A100" s="11" t="s">
        <v>121</v>
      </c>
      <c r="C100" s="219" t="s">
        <v>256</v>
      </c>
      <c r="D100" s="228" t="s">
        <v>255</v>
      </c>
      <c r="E100" s="7" t="s">
        <v>240</v>
      </c>
    </row>
    <row r="101" spans="1:8" x14ac:dyDescent="0.2">
      <c r="A101" s="199" t="s">
        <v>82</v>
      </c>
      <c r="B101" s="4"/>
      <c r="C101" s="68">
        <v>0</v>
      </c>
      <c r="D101" s="89">
        <v>20</v>
      </c>
      <c r="E101" s="241">
        <f>C101*D101</f>
        <v>0</v>
      </c>
    </row>
    <row r="102" spans="1:8" x14ac:dyDescent="0.2">
      <c r="A102" s="199" t="s">
        <v>9</v>
      </c>
      <c r="B102" s="4"/>
      <c r="C102" s="68">
        <v>0</v>
      </c>
      <c r="D102" s="90">
        <v>18</v>
      </c>
      <c r="E102" s="241">
        <f t="shared" ref="E102:E109" si="2">C102*D102</f>
        <v>0</v>
      </c>
    </row>
    <row r="103" spans="1:8" x14ac:dyDescent="0.2">
      <c r="A103" s="199" t="s">
        <v>326</v>
      </c>
      <c r="B103" s="4"/>
      <c r="C103" s="68">
        <v>1</v>
      </c>
      <c r="D103" s="90">
        <v>35</v>
      </c>
      <c r="E103" s="241">
        <f t="shared" si="2"/>
        <v>35</v>
      </c>
    </row>
    <row r="104" spans="1:8" x14ac:dyDescent="0.2">
      <c r="A104" s="199" t="s">
        <v>406</v>
      </c>
      <c r="B104" s="4"/>
      <c r="C104" s="68"/>
      <c r="D104" s="90">
        <v>25</v>
      </c>
      <c r="E104" s="241">
        <f t="shared" si="2"/>
        <v>0</v>
      </c>
    </row>
    <row r="105" spans="1:8" x14ac:dyDescent="0.2">
      <c r="A105" s="199"/>
      <c r="B105" s="4"/>
      <c r="C105" s="68"/>
      <c r="D105" s="90">
        <v>0</v>
      </c>
      <c r="E105" s="241">
        <f t="shared" si="2"/>
        <v>0</v>
      </c>
    </row>
    <row r="106" spans="1:8" ht="14.25" customHeight="1" x14ac:dyDescent="0.2">
      <c r="A106" s="213" t="s">
        <v>108</v>
      </c>
      <c r="B106" s="4"/>
      <c r="C106" s="68">
        <v>1</v>
      </c>
      <c r="D106" s="90">
        <v>18</v>
      </c>
      <c r="E106" s="241">
        <f t="shared" si="2"/>
        <v>18</v>
      </c>
    </row>
    <row r="107" spans="1:8" ht="14.25" customHeight="1" x14ac:dyDescent="0.2">
      <c r="A107" s="213"/>
      <c r="B107" s="4"/>
      <c r="C107" s="68"/>
      <c r="D107" s="90">
        <v>0</v>
      </c>
      <c r="E107" s="241">
        <v>0</v>
      </c>
    </row>
    <row r="108" spans="1:8" ht="14.25" customHeight="1" x14ac:dyDescent="0.2">
      <c r="A108" s="213"/>
      <c r="B108" s="4"/>
      <c r="C108" s="68"/>
      <c r="D108" s="90">
        <v>0</v>
      </c>
      <c r="E108" s="241">
        <v>0</v>
      </c>
      <c r="H108" s="322" t="s">
        <v>336</v>
      </c>
    </row>
    <row r="109" spans="1:8" ht="12" customHeight="1" x14ac:dyDescent="0.2">
      <c r="A109" s="213"/>
      <c r="B109" s="3"/>
      <c r="C109" s="68"/>
      <c r="D109" s="90">
        <v>0</v>
      </c>
      <c r="E109" s="241">
        <f t="shared" si="2"/>
        <v>0</v>
      </c>
      <c r="H109" s="323" t="s">
        <v>355</v>
      </c>
    </row>
    <row r="110" spans="1:8" ht="12.75" customHeight="1" x14ac:dyDescent="0.2">
      <c r="A110" s="199"/>
      <c r="B110" s="3"/>
      <c r="C110" s="68"/>
      <c r="D110" s="90">
        <v>0</v>
      </c>
      <c r="E110" s="245">
        <f>C110*D110</f>
        <v>0</v>
      </c>
    </row>
    <row r="111" spans="1:8" ht="12" customHeight="1" x14ac:dyDescent="0.2">
      <c r="A111" s="14" t="s">
        <v>225</v>
      </c>
      <c r="B111" s="3"/>
      <c r="C111" s="9"/>
      <c r="D111" s="3"/>
      <c r="E111" s="250">
        <f>SUM(E101:E110)</f>
        <v>53</v>
      </c>
      <c r="H111" s="322" t="s">
        <v>334</v>
      </c>
    </row>
    <row r="112" spans="1:8" ht="12" customHeight="1" x14ac:dyDescent="0.2">
      <c r="A112" s="8"/>
      <c r="B112" s="3"/>
      <c r="C112" s="9"/>
      <c r="D112" s="3"/>
      <c r="E112" s="126"/>
      <c r="H112" s="323" t="s">
        <v>335</v>
      </c>
    </row>
    <row r="113" spans="1:19" ht="12.75" customHeight="1" x14ac:dyDescent="0.2">
      <c r="A113" s="14" t="s">
        <v>122</v>
      </c>
      <c r="B113" s="3"/>
      <c r="C113" s="7" t="s">
        <v>256</v>
      </c>
      <c r="D113" s="7" t="s">
        <v>255</v>
      </c>
      <c r="E113" s="7" t="s">
        <v>240</v>
      </c>
      <c r="H113" s="36" t="s">
        <v>357</v>
      </c>
    </row>
    <row r="114" spans="1:19" ht="12.75" customHeight="1" x14ac:dyDescent="0.2">
      <c r="A114" s="196" t="s">
        <v>3</v>
      </c>
      <c r="B114" s="3"/>
      <c r="C114" s="68">
        <v>1</v>
      </c>
      <c r="D114" s="91">
        <v>40</v>
      </c>
      <c r="E114" s="245">
        <f>C114*D114</f>
        <v>40</v>
      </c>
    </row>
    <row r="115" spans="1:19" ht="12.75" customHeight="1" x14ac:dyDescent="0.2">
      <c r="A115" s="199" t="s">
        <v>43</v>
      </c>
      <c r="B115" s="40"/>
      <c r="C115" s="68"/>
      <c r="D115" s="91">
        <v>0</v>
      </c>
      <c r="E115" s="245">
        <v>0</v>
      </c>
      <c r="H115" t="s">
        <v>358</v>
      </c>
      <c r="S115" s="4"/>
    </row>
    <row r="116" spans="1:19" ht="12.75" customHeight="1" x14ac:dyDescent="0.2">
      <c r="A116" s="199" t="s">
        <v>137</v>
      </c>
      <c r="B116" s="4"/>
      <c r="C116" s="68"/>
      <c r="D116" s="91">
        <v>0</v>
      </c>
      <c r="E116" s="245">
        <v>0</v>
      </c>
      <c r="H116" s="323" t="s">
        <v>359</v>
      </c>
      <c r="S116" s="4"/>
    </row>
    <row r="117" spans="1:19" ht="12.75" customHeight="1" x14ac:dyDescent="0.2">
      <c r="A117" s="199"/>
      <c r="B117" s="40"/>
      <c r="C117" s="68"/>
      <c r="D117" s="91">
        <v>0</v>
      </c>
      <c r="E117" s="245">
        <v>0</v>
      </c>
      <c r="S117" s="4"/>
    </row>
    <row r="118" spans="1:19" ht="12.75" customHeight="1" x14ac:dyDescent="0.2">
      <c r="A118" s="199"/>
      <c r="B118" s="40"/>
      <c r="C118" s="68"/>
      <c r="D118" s="91">
        <v>0</v>
      </c>
      <c r="E118" s="245">
        <v>0</v>
      </c>
      <c r="H118" s="322" t="s">
        <v>337</v>
      </c>
      <c r="S118" s="4"/>
    </row>
    <row r="119" spans="1:19" ht="12.75" customHeight="1" x14ac:dyDescent="0.2">
      <c r="A119" s="199"/>
      <c r="B119" s="40"/>
      <c r="C119" s="68"/>
      <c r="D119" s="90">
        <v>0</v>
      </c>
      <c r="E119" s="245">
        <v>0</v>
      </c>
      <c r="H119" s="323" t="s">
        <v>338</v>
      </c>
      <c r="S119" s="4"/>
    </row>
    <row r="120" spans="1:19" ht="12.75" customHeight="1" x14ac:dyDescent="0.2">
      <c r="A120" s="11" t="s">
        <v>203</v>
      </c>
      <c r="B120" s="40"/>
      <c r="C120" s="42"/>
      <c r="D120" s="164"/>
      <c r="E120" s="250">
        <f>SUM(E114:E119)</f>
        <v>40</v>
      </c>
      <c r="S120" s="4"/>
    </row>
    <row r="121" spans="1:19" ht="12.75" customHeight="1" x14ac:dyDescent="0.2">
      <c r="A121" s="40"/>
      <c r="B121" s="40"/>
      <c r="C121" s="42"/>
      <c r="D121" s="164"/>
      <c r="E121" s="93"/>
      <c r="H121" s="322" t="s">
        <v>339</v>
      </c>
      <c r="S121" s="4"/>
    </row>
    <row r="122" spans="1:19" ht="12.75" customHeight="1" x14ac:dyDescent="0.2">
      <c r="A122" s="260" t="s">
        <v>34</v>
      </c>
      <c r="B122" s="228" t="s">
        <v>254</v>
      </c>
      <c r="C122" s="264" t="s">
        <v>124</v>
      </c>
      <c r="D122" s="235" t="s">
        <v>253</v>
      </c>
      <c r="E122" s="265" t="s">
        <v>240</v>
      </c>
      <c r="H122" s="323" t="s">
        <v>356</v>
      </c>
      <c r="S122" s="4"/>
    </row>
    <row r="123" spans="1:19" ht="12.75" customHeight="1" x14ac:dyDescent="0.2">
      <c r="A123" s="199" t="s">
        <v>134</v>
      </c>
      <c r="B123" s="261">
        <v>900</v>
      </c>
      <c r="C123" s="194">
        <v>25</v>
      </c>
      <c r="D123" s="262">
        <v>4</v>
      </c>
      <c r="E123" s="263">
        <f>((C123*D123)*(C14/B123))</f>
        <v>5.6666666666666661</v>
      </c>
      <c r="S123" s="4"/>
    </row>
    <row r="124" spans="1:19" ht="12.75" customHeight="1" x14ac:dyDescent="0.2">
      <c r="A124" s="230"/>
      <c r="B124" s="207">
        <v>450</v>
      </c>
      <c r="C124" s="77"/>
      <c r="D124" s="174">
        <v>0</v>
      </c>
      <c r="E124" s="246">
        <f>((C124*D124)*(C15/B124))</f>
        <v>0</v>
      </c>
      <c r="S124" s="4"/>
    </row>
    <row r="125" spans="1:19" ht="12.75" customHeight="1" x14ac:dyDescent="0.2">
      <c r="A125" s="146" t="s">
        <v>204</v>
      </c>
      <c r="B125" s="147"/>
      <c r="C125" s="148"/>
      <c r="D125" s="149"/>
      <c r="E125" s="250">
        <f>E120+E123+E124</f>
        <v>45.666666666666664</v>
      </c>
      <c r="S125" s="4"/>
    </row>
    <row r="126" spans="1:19" ht="12.75" customHeight="1" x14ac:dyDescent="0.2">
      <c r="A126" s="110" t="s">
        <v>32</v>
      </c>
      <c r="B126" s="106"/>
      <c r="C126" s="107"/>
      <c r="D126" s="108"/>
      <c r="E126" s="109"/>
      <c r="F126" s="92"/>
      <c r="S126" s="4"/>
    </row>
    <row r="127" spans="1:19" ht="12.75" customHeight="1" x14ac:dyDescent="0.2">
      <c r="A127" s="40"/>
      <c r="B127" s="40"/>
      <c r="C127" s="225" t="s">
        <v>109</v>
      </c>
      <c r="D127" s="226" t="s">
        <v>252</v>
      </c>
      <c r="E127" s="54" t="s">
        <v>240</v>
      </c>
      <c r="S127" s="4"/>
    </row>
    <row r="128" spans="1:19" ht="12.75" customHeight="1" x14ac:dyDescent="0.2">
      <c r="A128" s="40" t="s">
        <v>110</v>
      </c>
      <c r="B128" s="40"/>
      <c r="C128" s="68">
        <v>2</v>
      </c>
      <c r="D128" s="90">
        <v>0.06</v>
      </c>
      <c r="E128" s="245">
        <f>(C128*D128)*C14</f>
        <v>6.12</v>
      </c>
      <c r="S128" s="4"/>
    </row>
    <row r="129" spans="1:19" ht="12.75" customHeight="1" x14ac:dyDescent="0.2">
      <c r="A129" s="40"/>
      <c r="B129" s="7" t="s">
        <v>111</v>
      </c>
      <c r="C129" s="225" t="s">
        <v>112</v>
      </c>
      <c r="D129" s="229" t="s">
        <v>251</v>
      </c>
      <c r="E129" s="54" t="s">
        <v>240</v>
      </c>
      <c r="S129" s="4"/>
    </row>
    <row r="130" spans="1:19" ht="12.75" customHeight="1" x14ac:dyDescent="0.2">
      <c r="A130" s="40" t="s">
        <v>32</v>
      </c>
      <c r="B130" s="215">
        <v>1</v>
      </c>
      <c r="C130" s="68">
        <v>6</v>
      </c>
      <c r="D130" s="90">
        <v>0.04</v>
      </c>
      <c r="E130" s="251">
        <f>(C14*B130)*(C130*D130)</f>
        <v>12.24</v>
      </c>
      <c r="S130" s="4"/>
    </row>
    <row r="131" spans="1:19" ht="12.75" customHeight="1" x14ac:dyDescent="0.2">
      <c r="A131" s="138" t="s">
        <v>104</v>
      </c>
      <c r="B131" s="106"/>
      <c r="C131" s="139"/>
      <c r="D131" s="140"/>
      <c r="E131" s="141"/>
      <c r="F131" s="92"/>
      <c r="S131" s="4"/>
    </row>
    <row r="132" spans="1:19" ht="12.75" customHeight="1" x14ac:dyDescent="0.2">
      <c r="A132" s="40"/>
      <c r="B132" s="40"/>
      <c r="C132" s="225" t="s">
        <v>250</v>
      </c>
      <c r="D132" s="226" t="s">
        <v>249</v>
      </c>
      <c r="E132" s="54" t="s">
        <v>240</v>
      </c>
      <c r="G132" s="20"/>
      <c r="S132" s="4"/>
    </row>
    <row r="133" spans="1:19" ht="12.75" customHeight="1" x14ac:dyDescent="0.2">
      <c r="A133" s="266" t="s">
        <v>45</v>
      </c>
      <c r="B133" s="267"/>
      <c r="C133" s="167">
        <v>1.5</v>
      </c>
      <c r="D133" s="90">
        <v>25</v>
      </c>
      <c r="E133" s="245">
        <f>C133*D133</f>
        <v>37.5</v>
      </c>
      <c r="S133" s="4"/>
    </row>
    <row r="134" spans="1:19" ht="12.75" customHeight="1" x14ac:dyDescent="0.2">
      <c r="A134" s="40"/>
      <c r="B134" s="40"/>
      <c r="C134" s="42"/>
      <c r="D134" s="43"/>
      <c r="E134" s="10"/>
      <c r="S134" s="4"/>
    </row>
    <row r="135" spans="1:19" ht="12.75" customHeight="1" x14ac:dyDescent="0.2">
      <c r="A135" s="106"/>
      <c r="B135" s="112"/>
      <c r="C135" s="107"/>
      <c r="D135" s="108"/>
      <c r="E135" s="142"/>
      <c r="F135" s="92"/>
    </row>
    <row r="136" spans="1:19" ht="12.75" customHeight="1" x14ac:dyDescent="0.2">
      <c r="A136" s="33" t="s">
        <v>113</v>
      </c>
      <c r="C136" s="231">
        <v>7.4999999999999997E-2</v>
      </c>
      <c r="E136" s="241">
        <f>(C136*0.67)*(E97+(0.2*E111))</f>
        <v>23.184632142857144</v>
      </c>
      <c r="G136" s="86" t="s">
        <v>59</v>
      </c>
      <c r="H136" s="87"/>
      <c r="I136" s="87"/>
      <c r="J136" s="87"/>
      <c r="K136" s="87"/>
      <c r="L136" s="88"/>
    </row>
    <row r="137" spans="1:19" ht="12.75" customHeight="1" x14ac:dyDescent="0.2">
      <c r="A137" s="15"/>
      <c r="E137" s="6"/>
      <c r="G137" s="4"/>
      <c r="H137" s="4"/>
      <c r="I137" s="45"/>
      <c r="J137" s="45"/>
      <c r="K137" s="4"/>
      <c r="L137" s="45"/>
      <c r="M137" s="45"/>
    </row>
    <row r="138" spans="1:19" ht="12.75" customHeight="1" x14ac:dyDescent="0.2">
      <c r="A138" s="33" t="s">
        <v>85</v>
      </c>
      <c r="B138" s="4"/>
      <c r="C138" s="44"/>
      <c r="D138" s="43"/>
      <c r="E138" s="243">
        <f>E16*0.05</f>
        <v>23.867999999999999</v>
      </c>
    </row>
    <row r="139" spans="1:19" ht="12.75" customHeight="1" x14ac:dyDescent="0.2">
      <c r="A139" s="20" t="s">
        <v>231</v>
      </c>
      <c r="C139" s="16"/>
      <c r="E139" s="243">
        <f>E97+E111+E125+E128+E130+E133+E136+E138</f>
        <v>652.36501309523817</v>
      </c>
    </row>
    <row r="140" spans="1:19" ht="12.75" customHeight="1" x14ac:dyDescent="0.2">
      <c r="A140" s="20" t="s">
        <v>230</v>
      </c>
      <c r="D140" s="16"/>
      <c r="E140" s="243">
        <f>E16-E139</f>
        <v>-175.00501309523821</v>
      </c>
    </row>
    <row r="141" spans="1:19" ht="14.25" x14ac:dyDescent="0.2">
      <c r="A141" s="21"/>
      <c r="C141" s="54"/>
      <c r="D141" s="54"/>
      <c r="E141" s="55"/>
    </row>
    <row r="142" spans="1:19" x14ac:dyDescent="0.2">
      <c r="A142" s="33" t="s">
        <v>44</v>
      </c>
      <c r="B142" s="4"/>
      <c r="C142" s="42"/>
      <c r="D142" s="53"/>
      <c r="E142" s="252">
        <f>E139/C14</f>
        <v>12.791470845004669</v>
      </c>
    </row>
    <row r="143" spans="1:19" x14ac:dyDescent="0.2">
      <c r="B143" s="4"/>
    </row>
    <row r="144" spans="1:19" x14ac:dyDescent="0.2">
      <c r="C144" s="355" t="s">
        <v>26</v>
      </c>
      <c r="D144" s="356"/>
      <c r="E144" s="356"/>
      <c r="F144" s="356"/>
      <c r="G144" s="357"/>
    </row>
    <row r="145" spans="1:7" x14ac:dyDescent="0.2">
      <c r="C145" s="74"/>
      <c r="D145" s="75"/>
      <c r="E145" s="75"/>
      <c r="F145" s="75"/>
      <c r="G145" s="76"/>
    </row>
    <row r="146" spans="1:7" x14ac:dyDescent="0.2">
      <c r="C146" s="355" t="s">
        <v>18</v>
      </c>
      <c r="D146" s="356"/>
      <c r="E146" s="356"/>
      <c r="F146" s="356"/>
      <c r="G146" s="357"/>
    </row>
    <row r="147" spans="1:7" x14ac:dyDescent="0.2">
      <c r="A147" s="358" t="s">
        <v>24</v>
      </c>
      <c r="B147" s="359"/>
      <c r="C147" s="23"/>
      <c r="D147" s="23"/>
      <c r="E147" s="23"/>
      <c r="F147" s="23"/>
      <c r="G147" s="23"/>
    </row>
    <row r="148" spans="1:7" x14ac:dyDescent="0.2">
      <c r="A148" s="258" t="s">
        <v>27</v>
      </c>
      <c r="B148" s="259" t="s">
        <v>0</v>
      </c>
      <c r="C148" s="355" t="s">
        <v>26</v>
      </c>
      <c r="D148" s="356"/>
      <c r="E148" s="356"/>
      <c r="F148" s="356"/>
      <c r="G148" s="357"/>
    </row>
    <row r="149" spans="1:7" x14ac:dyDescent="0.2">
      <c r="A149" s="24" t="s">
        <v>21</v>
      </c>
      <c r="B149" s="25">
        <f>C14*1.2</f>
        <v>61.199999999999996</v>
      </c>
      <c r="C149" s="347">
        <f>(C$154*$B149)-$E$139</f>
        <v>-194.09941309523822</v>
      </c>
      <c r="D149" s="347">
        <f>(D$154*B149)-$E$139</f>
        <v>-136.81621309523825</v>
      </c>
      <c r="E149" s="347">
        <f>(E$154*$B149)-E$139</f>
        <v>-79.533013095238289</v>
      </c>
      <c r="F149" s="347">
        <f>(F$154*$B149)-E$139</f>
        <v>-22.24981309523821</v>
      </c>
      <c r="G149" s="347">
        <f>(G$154*B149)-E$139</f>
        <v>35.033386904761755</v>
      </c>
    </row>
    <row r="150" spans="1:7" x14ac:dyDescent="0.2">
      <c r="A150" s="24" t="s">
        <v>20</v>
      </c>
      <c r="B150" s="25">
        <f>C14*1.1</f>
        <v>56.1</v>
      </c>
      <c r="C150" s="347">
        <f>(C$154*B150)-$E$139</f>
        <v>-232.28821309523818</v>
      </c>
      <c r="D150" s="347">
        <f>(D$154*B150)-$E$139</f>
        <v>-179.7786130952382</v>
      </c>
      <c r="E150" s="347">
        <f>(E$154*$B150)-E$139</f>
        <v>-127.26901309523817</v>
      </c>
      <c r="F150" s="347">
        <f>(F$154*$B150)-E$139</f>
        <v>-74.759413095238187</v>
      </c>
      <c r="G150" s="347">
        <f>(G$154*B150)-E$139</f>
        <v>-22.24981309523821</v>
      </c>
    </row>
    <row r="151" spans="1:7" x14ac:dyDescent="0.2">
      <c r="A151" s="22"/>
      <c r="B151" s="25">
        <f>C14</f>
        <v>51</v>
      </c>
      <c r="C151" s="347">
        <f>(C$154*B151)-$E$139</f>
        <v>-270.47701309523819</v>
      </c>
      <c r="D151" s="347">
        <f>(D$154*B151)-$E$139</f>
        <v>-222.7410130952382</v>
      </c>
      <c r="E151" s="348">
        <f>(E$154*$B151)-E$139</f>
        <v>-175.00501309523821</v>
      </c>
      <c r="F151" s="347">
        <f>(F$154*$B151)-E$139</f>
        <v>-127.26901309523817</v>
      </c>
      <c r="G151" s="347">
        <f>(G$154*B151)-E$139</f>
        <v>-79.533013095238175</v>
      </c>
    </row>
    <row r="152" spans="1:7" x14ac:dyDescent="0.2">
      <c r="A152" s="24" t="s">
        <v>22</v>
      </c>
      <c r="B152" s="25">
        <f>C14*0.9</f>
        <v>45.9</v>
      </c>
      <c r="C152" s="347">
        <f>(C$154*B152)-$E$139</f>
        <v>-308.66581309523821</v>
      </c>
      <c r="D152" s="347">
        <f>(D$154*B152)-$E$139</f>
        <v>-265.7034130952382</v>
      </c>
      <c r="E152" s="347">
        <f>(E$154*$B152)-E$139</f>
        <v>-222.7410130952382</v>
      </c>
      <c r="F152" s="347">
        <f>(F$154*$B152)-E$139</f>
        <v>-179.7786130952382</v>
      </c>
      <c r="G152" s="347">
        <f>(G$154*B152)-E$139</f>
        <v>-136.81621309523825</v>
      </c>
    </row>
    <row r="153" spans="1:7" x14ac:dyDescent="0.2">
      <c r="A153" s="24" t="s">
        <v>23</v>
      </c>
      <c r="B153" s="25">
        <f>C14*0.8</f>
        <v>40.800000000000004</v>
      </c>
      <c r="C153" s="347">
        <f>(C$154*B153)-$E$139</f>
        <v>-346.85461309523816</v>
      </c>
      <c r="D153" s="347">
        <f>(D$154*B153)-$E$139</f>
        <v>-308.66581309523815</v>
      </c>
      <c r="E153" s="347">
        <f>(E$154*$B153)-E$139</f>
        <v>-270.47701309523814</v>
      </c>
      <c r="F153" s="347">
        <f>(F$154*$B153)-E$139</f>
        <v>-232.28821309523818</v>
      </c>
      <c r="G153" s="347">
        <f>(G$154*B153)-E$139</f>
        <v>-194.09941309523816</v>
      </c>
    </row>
    <row r="154" spans="1:7" x14ac:dyDescent="0.2">
      <c r="A154" s="280" t="s">
        <v>25</v>
      </c>
      <c r="B154" s="276"/>
      <c r="C154" s="277">
        <f>D14*0.8</f>
        <v>7.4879999999999995</v>
      </c>
      <c r="D154" s="277">
        <f>D14*0.9</f>
        <v>8.4239999999999995</v>
      </c>
      <c r="E154" s="277">
        <f>D14</f>
        <v>9.36</v>
      </c>
      <c r="F154" s="277">
        <f>D14*1.1</f>
        <v>10.295999999999999</v>
      </c>
      <c r="G154" s="277">
        <f>D14*1.2</f>
        <v>11.231999999999999</v>
      </c>
    </row>
    <row r="155" spans="1:7" x14ac:dyDescent="0.2">
      <c r="A155" s="280" t="s">
        <v>19</v>
      </c>
      <c r="B155" s="276"/>
      <c r="C155" s="278" t="s">
        <v>23</v>
      </c>
      <c r="D155" s="278" t="s">
        <v>22</v>
      </c>
      <c r="E155" s="279"/>
      <c r="F155" s="278" t="s">
        <v>20</v>
      </c>
      <c r="G155" s="278" t="s">
        <v>21</v>
      </c>
    </row>
  </sheetData>
  <sheetProtection algorithmName="SHA-512" hashValue="1pzR/M3CTjQLHetGxsRdgYLfPHjxFEUekUbmMFu68yh0SXtPrmZK/INTbKy3SR9xwv8jHeYBXKrsOPsfCkDuwA==" saltValue="OhYa08GAPsEnW+NHbjpVVQ==" spinCount="100000" sheet="1" objects="1" scenarios="1"/>
  <mergeCells count="4">
    <mergeCell ref="C144:G144"/>
    <mergeCell ref="C146:G146"/>
    <mergeCell ref="A147:B147"/>
    <mergeCell ref="C148:G148"/>
  </mergeCells>
  <hyperlinks>
    <hyperlink ref="H112" r:id="rId1" xr:uid="{00000000-0004-0000-0400-000000000000}"/>
    <hyperlink ref="H119" r:id="rId2" xr:uid="{00000000-0004-0000-0400-000001000000}"/>
    <hyperlink ref="H113" r:id="rId3" xr:uid="{00000000-0004-0000-0400-000002000000}"/>
    <hyperlink ref="H116" r:id="rId4" xr:uid="{00000000-0004-0000-0400-000003000000}"/>
  </hyperlinks>
  <pageMargins left="0.7" right="0.7" top="0.75" bottom="0.75" header="0.3" footer="0.3"/>
  <pageSetup scale="44" fitToHeight="0" orientation="portrait" verticalDpi="0"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S179"/>
  <sheetViews>
    <sheetView zoomScale="90" zoomScaleNormal="90" workbookViewId="0">
      <selection activeCell="E14" sqref="E14"/>
    </sheetView>
  </sheetViews>
  <sheetFormatPr defaultColWidth="8.42578125" defaultRowHeight="12.75" x14ac:dyDescent="0.2"/>
  <cols>
    <col min="1" max="1" width="24.7109375" customWidth="1"/>
    <col min="2" max="2" width="15.85546875" customWidth="1"/>
    <col min="3" max="3" width="15.42578125" customWidth="1"/>
    <col min="4" max="4" width="14.42578125" customWidth="1"/>
    <col min="5" max="5" width="11.28515625" customWidth="1"/>
    <col min="6" max="6" width="10.42578125" customWidth="1"/>
    <col min="7" max="7" width="13.42578125" customWidth="1"/>
    <col min="8" max="9" width="7.42578125" customWidth="1"/>
    <col min="10" max="10" width="8.42578125" customWidth="1"/>
    <col min="11" max="11" width="8" customWidth="1"/>
  </cols>
  <sheetData>
    <row r="1" spans="1:9" ht="15.75" customHeight="1" x14ac:dyDescent="0.2">
      <c r="A1" s="20" t="s">
        <v>29</v>
      </c>
      <c r="E1" s="36"/>
    </row>
    <row r="2" spans="1:9" ht="8.25" customHeight="1" x14ac:dyDescent="0.2"/>
    <row r="3" spans="1:9" ht="15" customHeight="1" x14ac:dyDescent="0.2"/>
    <row r="4" spans="1:9" ht="8.25" customHeight="1" x14ac:dyDescent="0.2"/>
    <row r="5" spans="1:9" ht="18.75" customHeight="1" x14ac:dyDescent="0.25">
      <c r="A5" s="2" t="s">
        <v>318</v>
      </c>
      <c r="D5" s="19"/>
      <c r="E5" s="34"/>
    </row>
    <row r="6" spans="1:9" ht="5.25" customHeight="1" x14ac:dyDescent="0.2"/>
    <row r="7" spans="1:9" x14ac:dyDescent="0.2">
      <c r="A7" s="17" t="s">
        <v>83</v>
      </c>
      <c r="E7" s="67"/>
      <c r="I7" s="38"/>
    </row>
    <row r="8" spans="1:9" x14ac:dyDescent="0.2">
      <c r="A8" s="17" t="s">
        <v>228</v>
      </c>
      <c r="E8" s="242"/>
    </row>
    <row r="9" spans="1:9" x14ac:dyDescent="0.2">
      <c r="A9" s="17" t="s">
        <v>71</v>
      </c>
      <c r="E9" s="79"/>
    </row>
    <row r="10" spans="1:9" x14ac:dyDescent="0.2">
      <c r="A10" s="17"/>
      <c r="E10" s="3"/>
    </row>
    <row r="11" spans="1:9" ht="20.100000000000001" customHeight="1" x14ac:dyDescent="0.25">
      <c r="A11" s="2" t="s">
        <v>343</v>
      </c>
      <c r="B11" s="352" t="s">
        <v>419</v>
      </c>
      <c r="C11" s="353"/>
      <c r="D11" s="20"/>
    </row>
    <row r="12" spans="1:9" x14ac:dyDescent="0.2">
      <c r="A12" s="119" t="s">
        <v>37</v>
      </c>
      <c r="B12" s="117"/>
      <c r="C12" s="118"/>
      <c r="D12" s="117"/>
      <c r="E12" s="117"/>
      <c r="F12" s="92"/>
    </row>
    <row r="13" spans="1:9" x14ac:dyDescent="0.2">
      <c r="A13" s="17"/>
      <c r="C13" s="54" t="s">
        <v>234</v>
      </c>
      <c r="D13" s="7" t="s">
        <v>235</v>
      </c>
      <c r="E13" s="17" t="s">
        <v>236</v>
      </c>
    </row>
    <row r="14" spans="1:9" x14ac:dyDescent="0.2">
      <c r="A14" s="20" t="s">
        <v>38</v>
      </c>
      <c r="C14" s="68">
        <v>76</v>
      </c>
      <c r="D14" s="124">
        <v>4.8899999999999997</v>
      </c>
      <c r="E14" s="241">
        <f>C14*D14</f>
        <v>371.64</v>
      </c>
    </row>
    <row r="15" spans="1:9" x14ac:dyDescent="0.2">
      <c r="A15" s="13"/>
      <c r="C15" s="219" t="s">
        <v>296</v>
      </c>
      <c r="D15" s="227" t="s">
        <v>239</v>
      </c>
      <c r="E15" s="238"/>
    </row>
    <row r="16" spans="1:9" x14ac:dyDescent="0.2">
      <c r="A16" s="20" t="s">
        <v>158</v>
      </c>
      <c r="C16" s="214">
        <v>1.4</v>
      </c>
      <c r="D16" s="124">
        <v>130</v>
      </c>
      <c r="E16" s="282">
        <f>C16*D16</f>
        <v>182</v>
      </c>
    </row>
    <row r="17" spans="1:18" x14ac:dyDescent="0.2">
      <c r="A17" s="152" t="s">
        <v>39</v>
      </c>
      <c r="B17" s="159"/>
      <c r="C17" s="157"/>
      <c r="D17" s="159"/>
      <c r="E17" s="243">
        <f>E14+E16</f>
        <v>553.64</v>
      </c>
    </row>
    <row r="18" spans="1:18" x14ac:dyDescent="0.2">
      <c r="A18" s="119" t="s">
        <v>40</v>
      </c>
      <c r="B18" s="120"/>
      <c r="C18" s="121"/>
      <c r="D18" s="120"/>
      <c r="E18" s="120"/>
      <c r="F18" s="122"/>
    </row>
    <row r="19" spans="1:18" ht="12" customHeight="1" x14ac:dyDescent="0.2">
      <c r="A19" s="17"/>
      <c r="B19" s="4"/>
      <c r="C19" s="3"/>
      <c r="D19" s="4"/>
      <c r="E19" s="4"/>
    </row>
    <row r="20" spans="1:18" x14ac:dyDescent="0.2">
      <c r="A20" s="111" t="s">
        <v>4</v>
      </c>
      <c r="B20" s="92"/>
      <c r="C20" s="112"/>
      <c r="D20" s="112"/>
      <c r="E20" s="112"/>
      <c r="F20" s="92"/>
    </row>
    <row r="21" spans="1:18" ht="15" customHeight="1" x14ac:dyDescent="0.2">
      <c r="A21" s="98" t="s">
        <v>88</v>
      </c>
      <c r="B21" s="99"/>
      <c r="C21" s="100"/>
      <c r="D21" s="100"/>
      <c r="E21" s="100"/>
      <c r="F21" s="97"/>
      <c r="H21" s="17"/>
      <c r="J21" s="17"/>
      <c r="M21" s="20"/>
    </row>
    <row r="22" spans="1:18" x14ac:dyDescent="0.2">
      <c r="A22" s="33"/>
      <c r="B22" s="7" t="s">
        <v>237</v>
      </c>
      <c r="C22" s="7" t="s">
        <v>238</v>
      </c>
      <c r="D22" s="7" t="s">
        <v>239</v>
      </c>
      <c r="E22" s="7" t="s">
        <v>240</v>
      </c>
      <c r="G22" s="65"/>
      <c r="H22" s="17"/>
      <c r="J22" s="17"/>
      <c r="K22" s="17"/>
      <c r="M22" s="20"/>
    </row>
    <row r="23" spans="1:18" x14ac:dyDescent="0.2">
      <c r="A23" s="39" t="s">
        <v>303</v>
      </c>
      <c r="B23" s="207"/>
      <c r="C23" s="78">
        <v>0</v>
      </c>
      <c r="D23" s="90"/>
      <c r="E23" s="244">
        <f>((D23/2000)*B23*C23)</f>
        <v>0</v>
      </c>
      <c r="G23" s="48"/>
      <c r="H23" s="6"/>
      <c r="I23" s="48"/>
      <c r="J23" s="6"/>
      <c r="O23" s="20"/>
      <c r="P23" s="20"/>
      <c r="Q23" s="20"/>
      <c r="R23" s="20"/>
    </row>
    <row r="24" spans="1:18" x14ac:dyDescent="0.2">
      <c r="A24" s="39"/>
      <c r="B24" s="40"/>
      <c r="C24" s="47"/>
      <c r="D24" s="10"/>
      <c r="E24" s="46"/>
      <c r="G24" s="48"/>
      <c r="H24" s="6"/>
      <c r="I24" s="48"/>
      <c r="J24" s="6"/>
      <c r="O24" s="20"/>
      <c r="P24" s="20"/>
      <c r="Q24" s="20"/>
      <c r="R24" s="20"/>
    </row>
    <row r="25" spans="1:18" x14ac:dyDescent="0.2">
      <c r="A25" s="33"/>
      <c r="C25" s="7" t="s">
        <v>241</v>
      </c>
      <c r="D25" s="7" t="s">
        <v>239</v>
      </c>
      <c r="E25" s="7" t="s">
        <v>240</v>
      </c>
      <c r="G25" s="65"/>
      <c r="H25" s="17"/>
      <c r="J25" s="17"/>
      <c r="K25" s="17"/>
      <c r="M25" s="20"/>
    </row>
    <row r="26" spans="1:18" x14ac:dyDescent="0.2">
      <c r="A26" s="208" t="s">
        <v>33</v>
      </c>
      <c r="B26" s="4"/>
      <c r="C26" s="68">
        <v>0</v>
      </c>
      <c r="D26" s="90">
        <v>635</v>
      </c>
      <c r="E26" s="245">
        <f>C26*(D26/2000)</f>
        <v>0</v>
      </c>
      <c r="G26" s="5"/>
      <c r="H26" s="1"/>
      <c r="J26" s="56"/>
    </row>
    <row r="27" spans="1:18" x14ac:dyDescent="0.2">
      <c r="A27" s="208" t="s">
        <v>66</v>
      </c>
      <c r="B27" s="4"/>
      <c r="C27" s="77"/>
      <c r="D27" s="90">
        <v>0</v>
      </c>
      <c r="E27" s="246">
        <f>C27*(D27/2000)</f>
        <v>0</v>
      </c>
      <c r="G27" s="5"/>
      <c r="H27" s="1"/>
      <c r="J27" s="56"/>
    </row>
    <row r="28" spans="1:18" x14ac:dyDescent="0.2">
      <c r="A28" s="209" t="s">
        <v>66</v>
      </c>
      <c r="B28" s="4"/>
      <c r="C28" s="77"/>
      <c r="D28" s="193"/>
      <c r="E28" s="246">
        <f>C28*(D28/2000)</f>
        <v>0</v>
      </c>
      <c r="G28" s="5"/>
      <c r="H28" s="1"/>
      <c r="J28" s="56"/>
    </row>
    <row r="29" spans="1:18" x14ac:dyDescent="0.2">
      <c r="A29" s="208"/>
      <c r="B29" s="4"/>
      <c r="C29" s="68"/>
      <c r="D29" s="90"/>
      <c r="E29" s="245">
        <f>C29*(D29/2000)</f>
        <v>0</v>
      </c>
      <c r="G29" s="5"/>
      <c r="H29" s="1"/>
      <c r="J29" s="56"/>
    </row>
    <row r="30" spans="1:18" x14ac:dyDescent="0.2">
      <c r="A30" s="94"/>
      <c r="B30" s="4"/>
      <c r="C30" s="42"/>
      <c r="D30" s="93"/>
      <c r="E30" s="93"/>
      <c r="G30" s="5"/>
      <c r="H30" s="1"/>
      <c r="J30" s="56"/>
    </row>
    <row r="31" spans="1:18" ht="14.25" customHeight="1" x14ac:dyDescent="0.2">
      <c r="A31" s="95" t="s">
        <v>135</v>
      </c>
      <c r="B31" s="96"/>
      <c r="C31" s="160"/>
      <c r="D31" s="161"/>
      <c r="E31" s="161"/>
      <c r="F31" s="97"/>
    </row>
    <row r="32" spans="1:18" ht="14.25" customHeight="1" x14ac:dyDescent="0.2">
      <c r="A32" s="48" t="s">
        <v>305</v>
      </c>
      <c r="B32" s="17"/>
      <c r="C32" s="219" t="s">
        <v>242</v>
      </c>
      <c r="D32" s="7" t="s">
        <v>243</v>
      </c>
      <c r="E32" s="7" t="s">
        <v>240</v>
      </c>
    </row>
    <row r="33" spans="1:12" ht="14.25" customHeight="1" x14ac:dyDescent="0.2">
      <c r="A33" s="201" t="s">
        <v>14</v>
      </c>
      <c r="B33" s="40"/>
      <c r="C33" s="68">
        <v>70</v>
      </c>
      <c r="D33" s="90">
        <v>0.6</v>
      </c>
      <c r="E33" s="245">
        <f>C33*D33</f>
        <v>42</v>
      </c>
    </row>
    <row r="34" spans="1:12" ht="14.25" customHeight="1" x14ac:dyDescent="0.2">
      <c r="A34" s="220" t="s">
        <v>15</v>
      </c>
      <c r="B34" s="4"/>
      <c r="C34" s="68"/>
      <c r="D34" s="90">
        <v>0</v>
      </c>
      <c r="E34" s="245">
        <f t="shared" ref="E34:E36" si="0">C34*D34</f>
        <v>0</v>
      </c>
    </row>
    <row r="35" spans="1:12" ht="13.5" customHeight="1" x14ac:dyDescent="0.2">
      <c r="A35" s="220" t="s">
        <v>16</v>
      </c>
      <c r="B35" s="4"/>
      <c r="C35" s="68"/>
      <c r="D35" s="90">
        <v>0</v>
      </c>
      <c r="E35" s="245">
        <f t="shared" si="0"/>
        <v>0</v>
      </c>
      <c r="G35" s="72"/>
      <c r="H35" s="16"/>
      <c r="I35" s="16"/>
      <c r="J35" s="7"/>
      <c r="K35" s="17"/>
      <c r="L35" s="17"/>
    </row>
    <row r="36" spans="1:12" ht="14.25" customHeight="1" x14ac:dyDescent="0.2">
      <c r="A36" s="221" t="s">
        <v>17</v>
      </c>
      <c r="B36" s="4"/>
      <c r="C36" s="77"/>
      <c r="D36" s="193">
        <v>0</v>
      </c>
      <c r="E36" s="246">
        <f t="shared" si="0"/>
        <v>0</v>
      </c>
      <c r="G36" s="5"/>
      <c r="H36" s="6"/>
      <c r="I36" s="6"/>
      <c r="J36" s="6"/>
      <c r="K36" s="6"/>
    </row>
    <row r="37" spans="1:12" ht="14.25" customHeight="1" x14ac:dyDescent="0.2">
      <c r="A37" s="199" t="s">
        <v>86</v>
      </c>
      <c r="B37" s="4"/>
      <c r="C37" s="42"/>
      <c r="D37" s="93"/>
      <c r="E37" s="210">
        <v>0</v>
      </c>
      <c r="G37" s="5"/>
      <c r="H37" s="6"/>
      <c r="I37" s="6"/>
      <c r="J37" s="6"/>
      <c r="K37" s="6"/>
    </row>
    <row r="38" spans="1:12" ht="14.25" customHeight="1" x14ac:dyDescent="0.2">
      <c r="A38" s="82" t="s">
        <v>136</v>
      </c>
      <c r="B38" s="81"/>
      <c r="C38" s="42"/>
      <c r="D38" s="93"/>
      <c r="E38" s="90">
        <v>0</v>
      </c>
      <c r="G38" s="5"/>
      <c r="H38" s="6"/>
      <c r="I38" s="6"/>
      <c r="J38" s="6"/>
      <c r="K38" s="6"/>
    </row>
    <row r="39" spans="1:12" ht="14.25" x14ac:dyDescent="0.25">
      <c r="A39" s="32"/>
      <c r="B39" s="4"/>
      <c r="C39" s="7" t="s">
        <v>193</v>
      </c>
      <c r="D39" s="223" t="s">
        <v>265</v>
      </c>
      <c r="E39" s="46"/>
      <c r="G39" s="65"/>
      <c r="I39" s="6"/>
    </row>
    <row r="40" spans="1:12" x14ac:dyDescent="0.2">
      <c r="A40" s="94" t="s">
        <v>192</v>
      </c>
      <c r="C40" s="68">
        <v>50</v>
      </c>
      <c r="D40" s="210">
        <v>0.81</v>
      </c>
      <c r="E40" s="247">
        <f t="shared" ref="E40" si="1">C40*D40</f>
        <v>40.5</v>
      </c>
      <c r="G40" s="48"/>
      <c r="H40" s="6"/>
    </row>
    <row r="41" spans="1:12" ht="14.25" customHeight="1" x14ac:dyDescent="0.25">
      <c r="A41" s="39"/>
      <c r="B41" s="4"/>
      <c r="C41" s="7" t="s">
        <v>194</v>
      </c>
      <c r="D41" s="223" t="s">
        <v>264</v>
      </c>
      <c r="E41" s="46"/>
      <c r="G41" s="5"/>
      <c r="H41" s="6"/>
      <c r="K41" s="17"/>
    </row>
    <row r="42" spans="1:12" ht="14.25" customHeight="1" x14ac:dyDescent="0.2">
      <c r="A42" s="222" t="s">
        <v>13</v>
      </c>
      <c r="C42" s="68">
        <v>70</v>
      </c>
      <c r="D42" s="90">
        <v>0.43</v>
      </c>
      <c r="E42" s="245">
        <f>C42*D42</f>
        <v>30.099999999999998</v>
      </c>
      <c r="G42" s="72"/>
      <c r="H42" s="16"/>
      <c r="I42" s="73"/>
      <c r="J42" s="73"/>
      <c r="K42" s="7"/>
      <c r="L42" s="7"/>
    </row>
    <row r="43" spans="1:12" ht="14.25" customHeight="1" x14ac:dyDescent="0.2">
      <c r="C43" s="12"/>
      <c r="G43" s="5"/>
      <c r="H43" s="1"/>
      <c r="I43" s="1"/>
      <c r="J43" s="1"/>
      <c r="K43" s="1"/>
      <c r="L43" s="1"/>
    </row>
    <row r="44" spans="1:12" ht="14.25" customHeight="1" x14ac:dyDescent="0.2">
      <c r="A44" s="199" t="s">
        <v>133</v>
      </c>
      <c r="B44" s="4"/>
      <c r="C44" s="9"/>
      <c r="D44" s="10"/>
      <c r="E44" s="90">
        <v>0</v>
      </c>
      <c r="G44" s="5"/>
      <c r="H44" s="6"/>
      <c r="I44" s="6"/>
      <c r="J44" s="6"/>
      <c r="K44" s="6"/>
      <c r="L44" s="6"/>
    </row>
    <row r="45" spans="1:12" ht="14.25" customHeight="1" x14ac:dyDescent="0.2">
      <c r="A45" s="166"/>
      <c r="B45" s="4"/>
      <c r="C45" s="9"/>
      <c r="D45" s="10"/>
      <c r="E45" s="102"/>
      <c r="G45" s="5"/>
      <c r="H45" s="6"/>
      <c r="I45" s="6"/>
      <c r="J45" s="6"/>
      <c r="K45" s="6"/>
      <c r="L45" s="6"/>
    </row>
    <row r="46" spans="1:12" ht="14.25" customHeight="1" x14ac:dyDescent="0.2">
      <c r="A46" s="199" t="s">
        <v>7</v>
      </c>
      <c r="B46" s="4"/>
      <c r="C46" s="9"/>
      <c r="D46" s="10"/>
      <c r="E46" s="90">
        <v>0</v>
      </c>
      <c r="G46" s="5"/>
      <c r="H46" s="6"/>
      <c r="I46" s="6"/>
      <c r="J46" s="6"/>
      <c r="K46" s="6"/>
      <c r="L46" s="6"/>
    </row>
    <row r="47" spans="1:12" ht="14.25" customHeight="1" x14ac:dyDescent="0.2">
      <c r="A47" s="199"/>
      <c r="B47" s="4"/>
      <c r="C47" s="9"/>
      <c r="D47" s="10"/>
      <c r="E47" s="90">
        <v>0</v>
      </c>
      <c r="G47" s="5"/>
      <c r="H47" s="6"/>
      <c r="I47" s="6"/>
      <c r="J47" s="6"/>
      <c r="K47" s="6"/>
      <c r="L47" s="6"/>
    </row>
    <row r="48" spans="1:12" ht="14.25" customHeight="1" x14ac:dyDescent="0.2">
      <c r="A48" s="199"/>
      <c r="B48" s="4"/>
      <c r="C48" s="9"/>
      <c r="D48" s="10"/>
      <c r="E48" s="90">
        <v>0</v>
      </c>
      <c r="G48" s="5"/>
      <c r="H48" s="6"/>
      <c r="I48" s="6"/>
      <c r="J48" s="6"/>
      <c r="K48" s="6"/>
      <c r="L48" s="6"/>
    </row>
    <row r="49" spans="1:12" ht="14.25" customHeight="1" x14ac:dyDescent="0.2">
      <c r="A49" s="33" t="s">
        <v>247</v>
      </c>
      <c r="B49" s="101"/>
      <c r="C49" s="219" t="s">
        <v>72</v>
      </c>
      <c r="D49" s="54" t="s">
        <v>255</v>
      </c>
      <c r="E49" s="10"/>
      <c r="G49" s="5"/>
      <c r="H49" s="6"/>
      <c r="I49" s="6"/>
      <c r="J49" s="6"/>
      <c r="K49" s="6"/>
      <c r="L49" s="6"/>
    </row>
    <row r="50" spans="1:12" ht="14.25" customHeight="1" x14ac:dyDescent="0.2">
      <c r="A50" s="199" t="s">
        <v>89</v>
      </c>
      <c r="B50" s="4"/>
      <c r="C50" s="68">
        <v>1</v>
      </c>
      <c r="D50" s="90">
        <v>9</v>
      </c>
      <c r="E50" s="245">
        <f>D50*C50</f>
        <v>9</v>
      </c>
      <c r="G50" s="5"/>
      <c r="H50" s="6"/>
      <c r="I50" s="6"/>
      <c r="J50" s="6"/>
      <c r="K50" s="6"/>
      <c r="L50" s="6"/>
    </row>
    <row r="51" spans="1:12" ht="14.25" customHeight="1" x14ac:dyDescent="0.2">
      <c r="A51" s="199"/>
      <c r="B51" s="4"/>
      <c r="C51" s="68"/>
      <c r="D51" s="90"/>
      <c r="E51" s="245">
        <f t="shared" ref="E51:E52" si="2">D51*C51</f>
        <v>0</v>
      </c>
      <c r="G51" s="5"/>
      <c r="H51" s="6"/>
      <c r="I51" s="6"/>
      <c r="J51" s="6"/>
      <c r="K51" s="6"/>
      <c r="L51" s="6"/>
    </row>
    <row r="52" spans="1:12" ht="14.25" customHeight="1" x14ac:dyDescent="0.2">
      <c r="A52" s="199" t="s">
        <v>208</v>
      </c>
      <c r="B52" s="4"/>
      <c r="C52" s="68"/>
      <c r="D52" s="90"/>
      <c r="E52" s="245">
        <f t="shared" si="2"/>
        <v>0</v>
      </c>
      <c r="G52" s="5"/>
      <c r="H52" s="6"/>
      <c r="I52" s="6"/>
      <c r="J52" s="6"/>
      <c r="K52" s="6"/>
      <c r="L52" s="6"/>
    </row>
    <row r="53" spans="1:12" ht="14.25" customHeight="1" x14ac:dyDescent="0.2">
      <c r="A53" s="33"/>
      <c r="B53" s="4"/>
      <c r="C53" s="9"/>
      <c r="D53" s="10"/>
      <c r="E53" s="10"/>
      <c r="G53" s="5"/>
      <c r="H53" s="6"/>
      <c r="I53" s="6"/>
      <c r="J53" s="6"/>
      <c r="K53" s="6"/>
      <c r="L53" s="6"/>
    </row>
    <row r="54" spans="1:12" x14ac:dyDescent="0.2">
      <c r="B54" s="7" t="s">
        <v>262</v>
      </c>
      <c r="C54" s="7" t="s">
        <v>263</v>
      </c>
      <c r="D54" s="54" t="s">
        <v>239</v>
      </c>
      <c r="E54" s="54" t="s">
        <v>240</v>
      </c>
    </row>
    <row r="55" spans="1:12" x14ac:dyDescent="0.2">
      <c r="A55" s="5" t="s">
        <v>80</v>
      </c>
      <c r="B55" s="211">
        <v>1</v>
      </c>
      <c r="C55" s="69"/>
      <c r="D55" s="124"/>
      <c r="E55" s="245">
        <f>(D55*C55)/B55</f>
        <v>0</v>
      </c>
      <c r="H55" s="80"/>
    </row>
    <row r="56" spans="1:12" x14ac:dyDescent="0.2">
      <c r="A56" s="15"/>
      <c r="B56" s="40"/>
      <c r="C56" s="125"/>
      <c r="D56" s="224" t="s">
        <v>240</v>
      </c>
      <c r="E56" s="102"/>
      <c r="H56" s="80"/>
    </row>
    <row r="57" spans="1:12" x14ac:dyDescent="0.2">
      <c r="A57" s="33" t="s">
        <v>98</v>
      </c>
      <c r="B57" s="4"/>
      <c r="C57" s="123"/>
      <c r="D57" s="124"/>
      <c r="E57" s="245">
        <f>D57/B55</f>
        <v>0</v>
      </c>
      <c r="H57" s="80"/>
    </row>
    <row r="58" spans="1:12" x14ac:dyDescent="0.2">
      <c r="A58" s="15"/>
      <c r="B58" s="84"/>
      <c r="C58" s="20"/>
      <c r="D58" s="1"/>
      <c r="E58" s="6"/>
      <c r="H58" s="80"/>
    </row>
    <row r="59" spans="1:12" x14ac:dyDescent="0.2">
      <c r="A59" s="152" t="s">
        <v>103</v>
      </c>
      <c r="B59" s="159"/>
      <c r="C59" s="159"/>
      <c r="D59" s="159"/>
      <c r="E59" s="243">
        <f>SUM(E23:E58)</f>
        <v>121.6</v>
      </c>
      <c r="G59" s="33"/>
      <c r="H59" s="33"/>
    </row>
    <row r="60" spans="1:12" x14ac:dyDescent="0.2">
      <c r="A60" s="111" t="s">
        <v>94</v>
      </c>
      <c r="B60" s="92"/>
      <c r="C60" s="92"/>
      <c r="D60" s="92"/>
      <c r="E60" s="92"/>
      <c r="F60" s="92"/>
      <c r="G60" s="33"/>
      <c r="H60" s="33"/>
    </row>
    <row r="61" spans="1:12" x14ac:dyDescent="0.2">
      <c r="A61" s="18"/>
      <c r="B61" s="4"/>
      <c r="C61" s="54" t="s">
        <v>297</v>
      </c>
      <c r="D61" s="54" t="s">
        <v>235</v>
      </c>
      <c r="E61" s="54" t="s">
        <v>240</v>
      </c>
      <c r="G61" s="33"/>
      <c r="H61" s="33"/>
    </row>
    <row r="62" spans="1:12" x14ac:dyDescent="0.2">
      <c r="A62" s="48" t="s">
        <v>159</v>
      </c>
      <c r="B62" s="40"/>
      <c r="C62" s="167">
        <v>2.5</v>
      </c>
      <c r="D62" s="217">
        <v>26</v>
      </c>
      <c r="E62" s="245">
        <f>C62*D62</f>
        <v>65</v>
      </c>
      <c r="G62" s="33"/>
      <c r="H62" s="33"/>
    </row>
    <row r="63" spans="1:12" x14ac:dyDescent="0.2">
      <c r="A63" s="5"/>
      <c r="B63" s="5"/>
      <c r="C63" s="7" t="s">
        <v>260</v>
      </c>
      <c r="D63" s="54" t="s">
        <v>261</v>
      </c>
      <c r="E63" s="54" t="s">
        <v>240</v>
      </c>
    </row>
    <row r="64" spans="1:12" x14ac:dyDescent="0.2">
      <c r="A64" s="48" t="s">
        <v>81</v>
      </c>
      <c r="B64" s="48"/>
      <c r="C64" s="167">
        <v>25</v>
      </c>
      <c r="D64" s="169">
        <v>1.5</v>
      </c>
      <c r="E64" s="324">
        <f>D64*C64</f>
        <v>37.5</v>
      </c>
    </row>
    <row r="65" spans="1:8" x14ac:dyDescent="0.2">
      <c r="A65" s="48"/>
      <c r="B65" s="48"/>
      <c r="C65" s="328" t="s">
        <v>298</v>
      </c>
      <c r="D65" s="234" t="s">
        <v>235</v>
      </c>
      <c r="E65" s="227" t="s">
        <v>240</v>
      </c>
    </row>
    <row r="66" spans="1:8" x14ac:dyDescent="0.2">
      <c r="A66" s="48" t="s">
        <v>81</v>
      </c>
      <c r="B66" s="48"/>
      <c r="C66" s="167"/>
      <c r="D66" s="169"/>
      <c r="E66" s="324">
        <f>D66*C66</f>
        <v>0</v>
      </c>
    </row>
    <row r="67" spans="1:8" x14ac:dyDescent="0.2">
      <c r="A67" s="146" t="s">
        <v>196</v>
      </c>
      <c r="B67" s="153"/>
      <c r="C67" s="158"/>
      <c r="D67" s="157"/>
      <c r="E67" s="249">
        <f>E62+E64+E66</f>
        <v>102.5</v>
      </c>
    </row>
    <row r="68" spans="1:8" x14ac:dyDescent="0.2">
      <c r="A68" s="110" t="s">
        <v>92</v>
      </c>
      <c r="B68" s="106"/>
      <c r="C68" s="107"/>
      <c r="D68" s="108"/>
      <c r="E68" s="145"/>
      <c r="F68" s="92"/>
    </row>
    <row r="69" spans="1:8" x14ac:dyDescent="0.2">
      <c r="A69" s="65" t="s">
        <v>2</v>
      </c>
      <c r="B69" s="4"/>
      <c r="C69" s="162"/>
      <c r="D69" s="83"/>
      <c r="E69" s="54" t="s">
        <v>240</v>
      </c>
      <c r="G69" s="31"/>
      <c r="H69" s="31"/>
    </row>
    <row r="70" spans="1:8" x14ac:dyDescent="0.2">
      <c r="A70" s="33" t="s">
        <v>126</v>
      </c>
      <c r="B70" s="4"/>
      <c r="C70" s="162"/>
      <c r="D70" s="83"/>
      <c r="E70" s="213"/>
      <c r="G70" s="31"/>
      <c r="H70" s="31"/>
    </row>
    <row r="71" spans="1:8" x14ac:dyDescent="0.2">
      <c r="A71" s="40" t="s">
        <v>99</v>
      </c>
      <c r="B71" s="4"/>
      <c r="C71" s="162"/>
      <c r="D71" s="83"/>
      <c r="E71" s="90"/>
      <c r="G71" s="31"/>
      <c r="H71" s="31"/>
    </row>
    <row r="72" spans="1:8" x14ac:dyDescent="0.2">
      <c r="A72" s="33" t="s">
        <v>127</v>
      </c>
      <c r="B72" s="4"/>
      <c r="C72" s="9"/>
      <c r="D72" s="163"/>
      <c r="E72" s="90"/>
      <c r="G72" s="31"/>
      <c r="H72" s="31"/>
    </row>
    <row r="73" spans="1:8" x14ac:dyDescent="0.2">
      <c r="A73" s="40" t="s">
        <v>99</v>
      </c>
      <c r="B73" s="4"/>
      <c r="C73" s="9"/>
      <c r="D73" s="163"/>
      <c r="E73" s="90"/>
      <c r="G73" s="31"/>
      <c r="H73" s="31"/>
    </row>
    <row r="74" spans="1:8" x14ac:dyDescent="0.2">
      <c r="A74" s="33" t="s">
        <v>128</v>
      </c>
      <c r="B74" s="4"/>
      <c r="C74" s="9"/>
      <c r="D74" s="163"/>
      <c r="E74" s="90">
        <v>20</v>
      </c>
      <c r="G74" s="31"/>
      <c r="H74" s="31"/>
    </row>
    <row r="75" spans="1:8" x14ac:dyDescent="0.2">
      <c r="A75" s="40" t="s">
        <v>99</v>
      </c>
      <c r="B75" s="4"/>
      <c r="C75" s="9"/>
      <c r="D75" s="163"/>
      <c r="E75" s="90">
        <v>9</v>
      </c>
      <c r="G75" s="31"/>
      <c r="H75" s="31"/>
    </row>
    <row r="76" spans="1:8" x14ac:dyDescent="0.2">
      <c r="A76" s="143" t="s">
        <v>129</v>
      </c>
      <c r="B76" s="3"/>
      <c r="C76" s="42"/>
      <c r="D76" s="164"/>
      <c r="E76" s="90"/>
      <c r="G76" s="30"/>
      <c r="H76" s="30"/>
    </row>
    <row r="77" spans="1:8" x14ac:dyDescent="0.2">
      <c r="A77" s="37" t="s">
        <v>99</v>
      </c>
      <c r="B77" s="3"/>
      <c r="C77" s="42"/>
      <c r="D77" s="164"/>
      <c r="E77" s="90"/>
      <c r="G77" s="20"/>
      <c r="H77" s="20"/>
    </row>
    <row r="78" spans="1:8" x14ac:dyDescent="0.2">
      <c r="A78" s="65" t="s">
        <v>8</v>
      </c>
      <c r="B78" s="4"/>
      <c r="C78" s="9"/>
      <c r="D78" s="3"/>
      <c r="E78" s="169"/>
    </row>
    <row r="79" spans="1:8" x14ac:dyDescent="0.2">
      <c r="A79" s="33" t="s">
        <v>130</v>
      </c>
      <c r="B79" s="4"/>
      <c r="C79" s="9"/>
      <c r="D79" s="3"/>
      <c r="E79" s="169">
        <v>25</v>
      </c>
    </row>
    <row r="80" spans="1:8" x14ac:dyDescent="0.2">
      <c r="A80" s="40" t="s">
        <v>99</v>
      </c>
      <c r="B80" s="4"/>
      <c r="C80" s="9"/>
      <c r="D80" s="3"/>
      <c r="E80" s="169">
        <v>9</v>
      </c>
    </row>
    <row r="81" spans="1:8" x14ac:dyDescent="0.2">
      <c r="A81" s="143" t="s">
        <v>131</v>
      </c>
      <c r="B81" s="3"/>
      <c r="C81" s="42"/>
      <c r="D81" s="164"/>
      <c r="E81" s="90"/>
    </row>
    <row r="82" spans="1:8" x14ac:dyDescent="0.2">
      <c r="A82" s="37" t="s">
        <v>99</v>
      </c>
      <c r="B82" s="3"/>
      <c r="C82" s="42"/>
      <c r="D82" s="164"/>
      <c r="E82" s="90"/>
    </row>
    <row r="83" spans="1:8" x14ac:dyDescent="0.2">
      <c r="A83" s="65" t="s">
        <v>12</v>
      </c>
      <c r="B83" s="4"/>
      <c r="C83" s="9"/>
      <c r="D83" s="3"/>
      <c r="E83" s="169"/>
    </row>
    <row r="84" spans="1:8" ht="13.5" customHeight="1" x14ac:dyDescent="0.2">
      <c r="A84" s="143" t="s">
        <v>132</v>
      </c>
      <c r="B84" s="3"/>
      <c r="C84" s="42"/>
      <c r="D84" s="164"/>
      <c r="E84" s="90"/>
      <c r="H84" s="20"/>
    </row>
    <row r="85" spans="1:8" x14ac:dyDescent="0.2">
      <c r="A85" s="37" t="s">
        <v>99</v>
      </c>
      <c r="B85" s="3"/>
      <c r="C85" s="42"/>
      <c r="D85" s="164"/>
      <c r="E85" s="90"/>
    </row>
    <row r="86" spans="1:8" x14ac:dyDescent="0.2">
      <c r="A86" s="143" t="s">
        <v>30</v>
      </c>
      <c r="B86" s="3"/>
      <c r="C86" s="42"/>
      <c r="D86" s="164"/>
      <c r="E86" s="90"/>
    </row>
    <row r="87" spans="1:8" x14ac:dyDescent="0.2">
      <c r="A87" s="143" t="s">
        <v>31</v>
      </c>
      <c r="B87" s="3"/>
      <c r="C87" s="42"/>
      <c r="D87" s="164"/>
      <c r="E87" s="90"/>
    </row>
    <row r="88" spans="1:8" x14ac:dyDescent="0.2">
      <c r="A88" s="156" t="s">
        <v>119</v>
      </c>
      <c r="B88" s="157"/>
      <c r="C88" s="148"/>
      <c r="D88" s="165"/>
      <c r="E88" s="250">
        <f>SUM(E70:E87)</f>
        <v>63</v>
      </c>
    </row>
    <row r="89" spans="1:8" x14ac:dyDescent="0.2">
      <c r="A89" s="131" t="s">
        <v>10</v>
      </c>
      <c r="B89" s="105"/>
      <c r="C89" s="130"/>
      <c r="D89" s="109"/>
      <c r="E89" s="109"/>
      <c r="F89" s="92"/>
    </row>
    <row r="90" spans="1:8" x14ac:dyDescent="0.2">
      <c r="A90" s="144"/>
      <c r="B90" s="3"/>
      <c r="C90" s="9"/>
      <c r="D90" s="10"/>
      <c r="E90" s="54" t="s">
        <v>240</v>
      </c>
    </row>
    <row r="91" spans="1:8" x14ac:dyDescent="0.2">
      <c r="A91" s="143" t="s">
        <v>118</v>
      </c>
      <c r="B91" s="3"/>
      <c r="C91" s="42"/>
      <c r="D91" s="43"/>
      <c r="E91" s="90">
        <v>0</v>
      </c>
    </row>
    <row r="92" spans="1:8" x14ac:dyDescent="0.2">
      <c r="A92" s="143"/>
      <c r="B92" s="3"/>
      <c r="C92" s="225" t="s">
        <v>116</v>
      </c>
      <c r="D92" s="226" t="s">
        <v>257</v>
      </c>
      <c r="E92" s="54" t="s">
        <v>240</v>
      </c>
    </row>
    <row r="93" spans="1:8" x14ac:dyDescent="0.2">
      <c r="A93" s="20" t="s">
        <v>115</v>
      </c>
      <c r="B93" s="5"/>
      <c r="C93" s="150">
        <v>0</v>
      </c>
      <c r="D93" s="171">
        <v>5.5</v>
      </c>
      <c r="E93" s="246">
        <f>+C93*D93</f>
        <v>0</v>
      </c>
    </row>
    <row r="94" spans="1:8" x14ac:dyDescent="0.2">
      <c r="A94" s="152" t="s">
        <v>117</v>
      </c>
      <c r="B94" s="153"/>
      <c r="C94" s="154"/>
      <c r="D94" s="155"/>
      <c r="E94" s="250">
        <f>E93+E91</f>
        <v>0</v>
      </c>
    </row>
    <row r="95" spans="1:8" ht="15" x14ac:dyDescent="0.25">
      <c r="A95" s="110" t="s">
        <v>93</v>
      </c>
      <c r="B95" s="103"/>
      <c r="C95" s="104"/>
      <c r="D95" s="105"/>
      <c r="E95" s="105"/>
      <c r="F95" s="92"/>
      <c r="H95" s="129"/>
    </row>
    <row r="96" spans="1:8" ht="13.5" customHeight="1" x14ac:dyDescent="0.2">
      <c r="A96" s="18"/>
      <c r="B96" s="4"/>
      <c r="C96" s="3"/>
      <c r="D96" s="3"/>
      <c r="E96" s="54" t="s">
        <v>240</v>
      </c>
    </row>
    <row r="97" spans="1:8" ht="13.5" customHeight="1" x14ac:dyDescent="0.2">
      <c r="A97" s="33" t="s">
        <v>106</v>
      </c>
      <c r="B97" s="4"/>
      <c r="C97" s="3"/>
      <c r="D97" s="3"/>
      <c r="E97" s="173">
        <v>185</v>
      </c>
    </row>
    <row r="98" spans="1:8" x14ac:dyDescent="0.2">
      <c r="A98" s="33" t="s">
        <v>28</v>
      </c>
      <c r="B98" s="4"/>
      <c r="C98" s="42"/>
      <c r="D98" s="43"/>
      <c r="E98" s="90">
        <v>25</v>
      </c>
    </row>
    <row r="99" spans="1:8" x14ac:dyDescent="0.2">
      <c r="A99" s="33" t="s">
        <v>102</v>
      </c>
      <c r="B99" s="4"/>
      <c r="C99" s="42"/>
      <c r="D99" s="43"/>
      <c r="E99" s="90">
        <v>0</v>
      </c>
    </row>
    <row r="100" spans="1:8" ht="15" x14ac:dyDescent="0.25">
      <c r="A100" s="33" t="s">
        <v>91</v>
      </c>
      <c r="B100" s="40" t="s">
        <v>233</v>
      </c>
      <c r="C100" s="42"/>
      <c r="D100" s="43"/>
      <c r="E100" s="90">
        <v>0</v>
      </c>
      <c r="H100" s="128"/>
    </row>
    <row r="101" spans="1:8" ht="15" x14ac:dyDescent="0.25">
      <c r="A101" s="33" t="s">
        <v>101</v>
      </c>
      <c r="B101" s="40"/>
      <c r="C101" s="42"/>
      <c r="D101" s="43"/>
      <c r="E101" s="193">
        <v>2.5</v>
      </c>
      <c r="H101" s="128"/>
    </row>
    <row r="102" spans="1:8" x14ac:dyDescent="0.2">
      <c r="A102" s="146" t="s">
        <v>120</v>
      </c>
      <c r="B102" s="147"/>
      <c r="C102" s="148"/>
      <c r="D102" s="149"/>
      <c r="E102" s="250">
        <f>SUM(E97:E101)</f>
        <v>212.5</v>
      </c>
    </row>
    <row r="103" spans="1:8" x14ac:dyDescent="0.2">
      <c r="A103" s="92"/>
      <c r="B103" s="103"/>
      <c r="C103" s="135"/>
      <c r="D103" s="136"/>
      <c r="E103" s="133"/>
      <c r="F103" s="92"/>
    </row>
    <row r="104" spans="1:8" x14ac:dyDescent="0.2">
      <c r="A104" s="287" t="s">
        <v>11</v>
      </c>
      <c r="B104" s="288"/>
      <c r="C104" s="289"/>
      <c r="D104" s="290"/>
      <c r="E104" s="250">
        <f>E59+E67+E88+E94+E102</f>
        <v>499.6</v>
      </c>
    </row>
    <row r="105" spans="1:8" x14ac:dyDescent="0.2">
      <c r="A105" s="14"/>
      <c r="B105" s="3"/>
      <c r="C105" s="9"/>
      <c r="D105" s="10"/>
      <c r="E105" s="126"/>
    </row>
    <row r="106" spans="1:8" x14ac:dyDescent="0.2">
      <c r="A106" s="111" t="s">
        <v>100</v>
      </c>
      <c r="B106" s="92"/>
      <c r="C106" s="127"/>
      <c r="D106" s="103"/>
      <c r="E106" s="92"/>
      <c r="F106" s="92"/>
    </row>
    <row r="107" spans="1:8" x14ac:dyDescent="0.2">
      <c r="A107" s="11" t="s">
        <v>121</v>
      </c>
      <c r="C107" s="219" t="s">
        <v>256</v>
      </c>
      <c r="D107" s="228" t="s">
        <v>255</v>
      </c>
      <c r="E107" s="54" t="s">
        <v>240</v>
      </c>
    </row>
    <row r="108" spans="1:8" x14ac:dyDescent="0.2">
      <c r="A108" s="199" t="s">
        <v>82</v>
      </c>
      <c r="B108" s="4"/>
      <c r="C108" s="68"/>
      <c r="D108" s="89">
        <v>20</v>
      </c>
      <c r="E108" s="241">
        <f>C108*D108</f>
        <v>0</v>
      </c>
    </row>
    <row r="109" spans="1:8" x14ac:dyDescent="0.2">
      <c r="A109" s="199" t="s">
        <v>9</v>
      </c>
      <c r="B109" s="4"/>
      <c r="C109" s="68"/>
      <c r="D109" s="90">
        <v>18</v>
      </c>
      <c r="E109" s="241">
        <f t="shared" ref="E109:E116" si="3">C109*D109</f>
        <v>0</v>
      </c>
    </row>
    <row r="110" spans="1:8" x14ac:dyDescent="0.2">
      <c r="A110" s="199" t="s">
        <v>326</v>
      </c>
      <c r="B110" s="4"/>
      <c r="C110" s="68">
        <v>1</v>
      </c>
      <c r="D110" s="90">
        <v>35</v>
      </c>
      <c r="E110" s="241">
        <f t="shared" si="3"/>
        <v>35</v>
      </c>
    </row>
    <row r="111" spans="1:8" x14ac:dyDescent="0.2">
      <c r="A111" s="199" t="s">
        <v>42</v>
      </c>
      <c r="B111" s="4"/>
      <c r="C111" s="68"/>
      <c r="D111" s="90">
        <v>25</v>
      </c>
      <c r="E111" s="241">
        <f t="shared" si="3"/>
        <v>0</v>
      </c>
    </row>
    <row r="112" spans="1:8" x14ac:dyDescent="0.2">
      <c r="A112" s="199"/>
      <c r="B112" s="4"/>
      <c r="C112" s="68"/>
      <c r="D112" s="90"/>
      <c r="E112" s="241">
        <f t="shared" si="3"/>
        <v>0</v>
      </c>
    </row>
    <row r="113" spans="1:19" ht="14.25" customHeight="1" x14ac:dyDescent="0.2">
      <c r="A113" s="213" t="s">
        <v>108</v>
      </c>
      <c r="B113" s="4"/>
      <c r="C113" s="68">
        <v>1</v>
      </c>
      <c r="D113" s="90">
        <v>18</v>
      </c>
      <c r="E113" s="241">
        <f t="shared" si="3"/>
        <v>18</v>
      </c>
    </row>
    <row r="114" spans="1:19" ht="14.25" customHeight="1" x14ac:dyDescent="0.2">
      <c r="A114" s="213"/>
      <c r="B114" s="4"/>
      <c r="C114" s="68"/>
      <c r="D114" s="90"/>
      <c r="E114" s="241">
        <f t="shared" si="3"/>
        <v>0</v>
      </c>
    </row>
    <row r="115" spans="1:19" ht="14.25" customHeight="1" x14ac:dyDescent="0.2">
      <c r="A115" s="213"/>
      <c r="B115" s="4"/>
      <c r="C115" s="68"/>
      <c r="D115" s="90"/>
      <c r="E115" s="241">
        <f t="shared" si="3"/>
        <v>0</v>
      </c>
    </row>
    <row r="116" spans="1:19" ht="12" customHeight="1" x14ac:dyDescent="0.2">
      <c r="A116" s="213"/>
      <c r="B116" s="3"/>
      <c r="C116" s="68"/>
      <c r="D116" s="90"/>
      <c r="E116" s="241">
        <f t="shared" si="3"/>
        <v>0</v>
      </c>
    </row>
    <row r="117" spans="1:19" ht="12.75" customHeight="1" x14ac:dyDescent="0.2">
      <c r="A117" s="199"/>
      <c r="B117" s="292"/>
      <c r="C117" s="68"/>
      <c r="D117" s="90"/>
      <c r="E117" s="245">
        <f>C117*D117</f>
        <v>0</v>
      </c>
      <c r="H117" s="322" t="s">
        <v>336</v>
      </c>
    </row>
    <row r="118" spans="1:19" ht="12" customHeight="1" x14ac:dyDescent="0.2">
      <c r="A118" s="287" t="s">
        <v>225</v>
      </c>
      <c r="B118" s="288"/>
      <c r="C118" s="289"/>
      <c r="D118" s="291"/>
      <c r="E118" s="250">
        <f>SUM(E108:E117)</f>
        <v>53</v>
      </c>
      <c r="H118" s="323" t="s">
        <v>355</v>
      </c>
    </row>
    <row r="119" spans="1:19" ht="12" customHeight="1" x14ac:dyDescent="0.2">
      <c r="A119" s="8"/>
      <c r="B119" s="3"/>
      <c r="C119" s="9"/>
      <c r="D119" s="3"/>
      <c r="E119" s="126"/>
    </row>
    <row r="120" spans="1:19" ht="12.75" customHeight="1" x14ac:dyDescent="0.2">
      <c r="A120" s="14" t="s">
        <v>166</v>
      </c>
      <c r="B120" s="3"/>
      <c r="C120" s="7" t="s">
        <v>256</v>
      </c>
      <c r="D120" s="7" t="s">
        <v>255</v>
      </c>
      <c r="E120" s="54" t="s">
        <v>240</v>
      </c>
      <c r="H120" s="322" t="s">
        <v>334</v>
      </c>
    </row>
    <row r="121" spans="1:19" ht="12.75" customHeight="1" x14ac:dyDescent="0.2">
      <c r="A121" s="196" t="s">
        <v>3</v>
      </c>
      <c r="B121" s="3"/>
      <c r="C121" s="68">
        <v>1</v>
      </c>
      <c r="D121" s="91">
        <v>38</v>
      </c>
      <c r="E121" s="245">
        <f>C121*D121</f>
        <v>38</v>
      </c>
      <c r="H121" s="323" t="s">
        <v>335</v>
      </c>
    </row>
    <row r="122" spans="1:19" ht="12.75" customHeight="1" x14ac:dyDescent="0.2">
      <c r="A122" s="199" t="s">
        <v>43</v>
      </c>
      <c r="B122" s="40"/>
      <c r="C122" s="68"/>
      <c r="D122" s="91">
        <v>5</v>
      </c>
      <c r="E122" s="245">
        <f t="shared" ref="E122:E133" si="4">C122*D122</f>
        <v>0</v>
      </c>
      <c r="H122" s="36" t="s">
        <v>357</v>
      </c>
      <c r="S122" s="4"/>
    </row>
    <row r="123" spans="1:19" ht="12.75" customHeight="1" x14ac:dyDescent="0.2">
      <c r="A123" s="199" t="s">
        <v>137</v>
      </c>
      <c r="B123" s="40"/>
      <c r="C123" s="68"/>
      <c r="D123" s="91">
        <v>5.2</v>
      </c>
      <c r="E123" s="245">
        <f t="shared" si="4"/>
        <v>0</v>
      </c>
      <c r="S123" s="4"/>
    </row>
    <row r="124" spans="1:19" ht="12.75" customHeight="1" x14ac:dyDescent="0.2">
      <c r="A124" s="199"/>
      <c r="B124" s="40"/>
      <c r="C124" s="68"/>
      <c r="D124" s="91"/>
      <c r="E124" s="245">
        <f t="shared" si="4"/>
        <v>0</v>
      </c>
      <c r="H124" t="s">
        <v>358</v>
      </c>
      <c r="S124" s="4"/>
    </row>
    <row r="125" spans="1:19" ht="12.75" customHeight="1" x14ac:dyDescent="0.2">
      <c r="A125" s="199"/>
      <c r="B125" s="40"/>
      <c r="C125" s="68"/>
      <c r="D125" s="91"/>
      <c r="E125" s="245">
        <f t="shared" si="4"/>
        <v>0</v>
      </c>
      <c r="H125" s="323" t="s">
        <v>359</v>
      </c>
      <c r="S125" s="4"/>
    </row>
    <row r="126" spans="1:19" ht="12.75" customHeight="1" x14ac:dyDescent="0.2">
      <c r="A126" s="199"/>
      <c r="B126" s="295"/>
      <c r="C126" s="68"/>
      <c r="D126" s="90"/>
      <c r="E126" s="245">
        <f t="shared" si="4"/>
        <v>0</v>
      </c>
      <c r="S126" s="4"/>
    </row>
    <row r="127" spans="1:19" ht="12.75" customHeight="1" x14ac:dyDescent="0.2">
      <c r="A127" s="168" t="s">
        <v>226</v>
      </c>
      <c r="B127" s="132"/>
      <c r="C127" s="293"/>
      <c r="D127" s="294"/>
      <c r="E127" s="250">
        <f>SUM(E121:E126)</f>
        <v>38</v>
      </c>
      <c r="H127" s="322" t="s">
        <v>337</v>
      </c>
      <c r="S127" s="4"/>
    </row>
    <row r="128" spans="1:19" ht="12.75" customHeight="1" x14ac:dyDescent="0.2">
      <c r="A128" s="33"/>
      <c r="B128" s="40"/>
      <c r="C128" s="42"/>
      <c r="D128" s="43"/>
      <c r="E128" s="126"/>
      <c r="H128" s="323" t="s">
        <v>338</v>
      </c>
      <c r="S128" s="4"/>
    </row>
    <row r="129" spans="1:19" ht="12.75" customHeight="1" x14ac:dyDescent="0.2">
      <c r="A129" s="11" t="s">
        <v>209</v>
      </c>
      <c r="B129" s="4"/>
      <c r="C129" s="225" t="s">
        <v>256</v>
      </c>
      <c r="D129" s="234" t="s">
        <v>255</v>
      </c>
      <c r="E129" s="54" t="s">
        <v>240</v>
      </c>
      <c r="S129" s="4"/>
    </row>
    <row r="130" spans="1:19" ht="12.75" customHeight="1" x14ac:dyDescent="0.2">
      <c r="A130" s="266"/>
      <c r="B130" s="267"/>
      <c r="C130" s="68"/>
      <c r="D130" s="90"/>
      <c r="E130" s="245">
        <f t="shared" si="4"/>
        <v>0</v>
      </c>
      <c r="H130" s="322" t="s">
        <v>339</v>
      </c>
      <c r="S130" s="4"/>
    </row>
    <row r="131" spans="1:19" ht="12.75" customHeight="1" x14ac:dyDescent="0.2">
      <c r="A131" s="239"/>
      <c r="B131" s="40"/>
      <c r="C131" s="194"/>
      <c r="D131" s="240"/>
      <c r="E131" s="263">
        <f t="shared" si="4"/>
        <v>0</v>
      </c>
      <c r="H131" s="323" t="s">
        <v>356</v>
      </c>
      <c r="S131" s="4"/>
    </row>
    <row r="132" spans="1:19" ht="12.75" customHeight="1" x14ac:dyDescent="0.2">
      <c r="A132" s="199" t="s">
        <v>161</v>
      </c>
      <c r="B132" s="40"/>
      <c r="C132" s="68">
        <v>1</v>
      </c>
      <c r="D132" s="91">
        <v>8</v>
      </c>
      <c r="E132" s="245">
        <f t="shared" si="4"/>
        <v>8</v>
      </c>
      <c r="S132" s="4"/>
    </row>
    <row r="133" spans="1:19" ht="12.75" customHeight="1" x14ac:dyDescent="0.2">
      <c r="A133" s="199"/>
      <c r="B133" s="40"/>
      <c r="C133" s="68"/>
      <c r="D133" s="91"/>
      <c r="E133" s="245">
        <f t="shared" si="4"/>
        <v>0</v>
      </c>
      <c r="S133" s="4"/>
    </row>
    <row r="134" spans="1:19" ht="12.75" customHeight="1" x14ac:dyDescent="0.2">
      <c r="A134" s="168" t="s">
        <v>167</v>
      </c>
      <c r="B134" s="33"/>
      <c r="C134" s="284" t="s">
        <v>300</v>
      </c>
      <c r="D134" s="285" t="s">
        <v>301</v>
      </c>
      <c r="E134" s="286" t="s">
        <v>240</v>
      </c>
      <c r="S134" s="4"/>
    </row>
    <row r="135" spans="1:19" ht="12.75" customHeight="1" x14ac:dyDescent="0.2">
      <c r="A135" s="199"/>
      <c r="B135" s="40"/>
      <c r="C135" s="194"/>
      <c r="D135" s="240"/>
      <c r="E135" s="263">
        <f t="shared" ref="E135:E139" si="5">C135*D135</f>
        <v>0</v>
      </c>
      <c r="S135" s="4"/>
    </row>
    <row r="136" spans="1:19" ht="12.75" customHeight="1" x14ac:dyDescent="0.2">
      <c r="A136" s="199" t="s">
        <v>160</v>
      </c>
      <c r="B136" s="40"/>
      <c r="C136" s="68">
        <v>4</v>
      </c>
      <c r="D136" s="91">
        <v>12</v>
      </c>
      <c r="E136" s="245">
        <f t="shared" si="5"/>
        <v>48</v>
      </c>
      <c r="S136" s="4"/>
    </row>
    <row r="137" spans="1:19" ht="12.75" customHeight="1" x14ac:dyDescent="0.2">
      <c r="A137" s="199" t="s">
        <v>162</v>
      </c>
      <c r="B137" s="40"/>
      <c r="C137" s="68">
        <v>4</v>
      </c>
      <c r="D137" s="91">
        <v>3</v>
      </c>
      <c r="E137" s="245">
        <f t="shared" si="5"/>
        <v>12</v>
      </c>
      <c r="S137" s="4"/>
    </row>
    <row r="138" spans="1:19" ht="12.75" customHeight="1" x14ac:dyDescent="0.2">
      <c r="A138" s="199"/>
      <c r="B138" s="40"/>
      <c r="C138" s="68"/>
      <c r="D138" s="91"/>
      <c r="E138" s="245">
        <f t="shared" si="5"/>
        <v>0</v>
      </c>
      <c r="S138" s="4"/>
    </row>
    <row r="139" spans="1:19" ht="12.75" customHeight="1" x14ac:dyDescent="0.2">
      <c r="A139" s="199"/>
      <c r="B139" s="295"/>
      <c r="C139" s="68"/>
      <c r="D139" s="90"/>
      <c r="E139" s="245">
        <f t="shared" si="5"/>
        <v>0</v>
      </c>
      <c r="S139" s="4"/>
    </row>
    <row r="140" spans="1:19" ht="12.75" customHeight="1" x14ac:dyDescent="0.2">
      <c r="A140" s="296" t="s">
        <v>168</v>
      </c>
      <c r="B140" s="132"/>
      <c r="C140" s="293"/>
      <c r="D140" s="297"/>
      <c r="E140" s="250">
        <f>SUM(E130:E139)</f>
        <v>68</v>
      </c>
      <c r="S140" s="4"/>
    </row>
    <row r="141" spans="1:19" ht="12.75" customHeight="1" x14ac:dyDescent="0.2">
      <c r="A141" s="40"/>
      <c r="B141" s="40"/>
      <c r="C141" s="42"/>
      <c r="D141" s="164"/>
      <c r="E141" s="126"/>
      <c r="S141" s="4"/>
    </row>
    <row r="142" spans="1:19" ht="12.75" customHeight="1" x14ac:dyDescent="0.2">
      <c r="A142" s="260" t="s">
        <v>163</v>
      </c>
      <c r="B142" s="228" t="s">
        <v>254</v>
      </c>
      <c r="C142" s="264" t="s">
        <v>124</v>
      </c>
      <c r="D142" s="235" t="s">
        <v>253</v>
      </c>
      <c r="E142" s="283" t="s">
        <v>240</v>
      </c>
      <c r="S142" s="4"/>
    </row>
    <row r="143" spans="1:19" ht="12.75" customHeight="1" x14ac:dyDescent="0.2">
      <c r="A143" s="199" t="s">
        <v>134</v>
      </c>
      <c r="B143" s="261">
        <v>900</v>
      </c>
      <c r="C143" s="194">
        <v>25</v>
      </c>
      <c r="D143" s="262">
        <v>4</v>
      </c>
      <c r="E143" s="263">
        <f>((C143*D143)*(C14/B143))</f>
        <v>8.4444444444444446</v>
      </c>
      <c r="S143" s="4"/>
    </row>
    <row r="144" spans="1:19" ht="12.75" customHeight="1" x14ac:dyDescent="0.2">
      <c r="A144" s="230"/>
      <c r="B144" s="207">
        <v>450</v>
      </c>
      <c r="C144" s="77"/>
      <c r="D144" s="174"/>
      <c r="E144" s="246">
        <f>((C144*D144)*(C16/B144))</f>
        <v>0</v>
      </c>
      <c r="S144" s="4"/>
    </row>
    <row r="145" spans="1:19" ht="12.75" customHeight="1" x14ac:dyDescent="0.2">
      <c r="A145" s="146" t="s">
        <v>123</v>
      </c>
      <c r="B145" s="147"/>
      <c r="C145" s="148"/>
      <c r="D145" s="149"/>
      <c r="E145" s="250">
        <f>E127+E140+E143+E144</f>
        <v>114.44444444444444</v>
      </c>
      <c r="S145" s="4"/>
    </row>
    <row r="146" spans="1:19" ht="12.75" customHeight="1" x14ac:dyDescent="0.2">
      <c r="A146" s="110" t="s">
        <v>107</v>
      </c>
      <c r="B146" s="106"/>
      <c r="C146" s="107"/>
      <c r="D146" s="108"/>
      <c r="E146" s="109"/>
      <c r="F146" s="92"/>
      <c r="S146" s="4"/>
    </row>
    <row r="147" spans="1:19" ht="12.75" customHeight="1" x14ac:dyDescent="0.2">
      <c r="A147" s="40"/>
      <c r="B147" s="40"/>
      <c r="C147" s="225" t="s">
        <v>109</v>
      </c>
      <c r="D147" s="226" t="s">
        <v>252</v>
      </c>
      <c r="E147" s="54" t="s">
        <v>240</v>
      </c>
      <c r="S147" s="4"/>
    </row>
    <row r="148" spans="1:19" ht="12.75" customHeight="1" x14ac:dyDescent="0.2">
      <c r="A148" s="40" t="s">
        <v>110</v>
      </c>
      <c r="B148" s="40"/>
      <c r="C148" s="68">
        <v>1</v>
      </c>
      <c r="D148" s="90">
        <v>0.06</v>
      </c>
      <c r="E148" s="245">
        <f>(C148*D148)*C14</f>
        <v>4.5599999999999996</v>
      </c>
      <c r="S148" s="4"/>
    </row>
    <row r="149" spans="1:19" ht="12.75" customHeight="1" x14ac:dyDescent="0.2">
      <c r="A149" s="40"/>
      <c r="B149" s="7" t="s">
        <v>111</v>
      </c>
      <c r="C149" s="225" t="s">
        <v>112</v>
      </c>
      <c r="D149" s="226" t="s">
        <v>251</v>
      </c>
      <c r="E149" s="54" t="s">
        <v>240</v>
      </c>
      <c r="S149" s="4"/>
    </row>
    <row r="150" spans="1:19" ht="12.75" customHeight="1" x14ac:dyDescent="0.2">
      <c r="A150" s="40" t="s">
        <v>164</v>
      </c>
      <c r="B150" s="215">
        <v>1</v>
      </c>
      <c r="C150" s="68">
        <v>6</v>
      </c>
      <c r="D150" s="90">
        <v>0.04</v>
      </c>
      <c r="E150" s="251">
        <f>(C14*B150)*(C150*D150)</f>
        <v>18.239999999999998</v>
      </c>
      <c r="S150" s="4"/>
    </row>
    <row r="151" spans="1:19" ht="12.75" customHeight="1" x14ac:dyDescent="0.2">
      <c r="A151" s="40"/>
      <c r="B151" s="61" t="s">
        <v>111</v>
      </c>
      <c r="C151" s="225" t="s">
        <v>112</v>
      </c>
      <c r="D151" s="234" t="s">
        <v>299</v>
      </c>
      <c r="E151" s="54" t="s">
        <v>240</v>
      </c>
      <c r="S151" s="4"/>
    </row>
    <row r="152" spans="1:19" ht="12.75" customHeight="1" x14ac:dyDescent="0.2">
      <c r="A152" s="40" t="s">
        <v>158</v>
      </c>
      <c r="B152" s="215">
        <v>0</v>
      </c>
      <c r="C152" s="68">
        <v>0</v>
      </c>
      <c r="D152" s="90">
        <v>0</v>
      </c>
      <c r="E152" s="251">
        <f>(C16*B152)*(C152*D152)</f>
        <v>0</v>
      </c>
      <c r="S152" s="4"/>
    </row>
    <row r="153" spans="1:19" ht="12.75" customHeight="1" x14ac:dyDescent="0.2">
      <c r="A153" s="138" t="s">
        <v>104</v>
      </c>
      <c r="B153" s="106"/>
      <c r="C153" s="139"/>
      <c r="D153" s="140"/>
      <c r="E153" s="141"/>
      <c r="F153" s="92"/>
      <c r="S153" s="4"/>
    </row>
    <row r="154" spans="1:19" ht="12.75" customHeight="1" x14ac:dyDescent="0.2">
      <c r="A154" s="40"/>
      <c r="B154" s="40"/>
      <c r="C154" s="225" t="s">
        <v>250</v>
      </c>
      <c r="D154" s="226" t="s">
        <v>249</v>
      </c>
      <c r="E154" s="54" t="s">
        <v>240</v>
      </c>
      <c r="G154" s="20"/>
      <c r="S154" s="4"/>
    </row>
    <row r="155" spans="1:19" ht="12.75" customHeight="1" x14ac:dyDescent="0.2">
      <c r="A155" s="266" t="s">
        <v>45</v>
      </c>
      <c r="B155" s="267"/>
      <c r="C155" s="167">
        <v>1.5</v>
      </c>
      <c r="D155" s="90">
        <v>25</v>
      </c>
      <c r="E155" s="245">
        <f>C155*D155</f>
        <v>37.5</v>
      </c>
      <c r="S155" s="4"/>
    </row>
    <row r="156" spans="1:19" ht="12.75" customHeight="1" x14ac:dyDescent="0.2">
      <c r="A156" s="40"/>
      <c r="B156" s="40"/>
      <c r="C156" s="42"/>
      <c r="D156" s="43"/>
      <c r="E156" s="10"/>
      <c r="S156" s="4"/>
    </row>
    <row r="157" spans="1:19" ht="12.75" customHeight="1" x14ac:dyDescent="0.2">
      <c r="A157" s="106"/>
      <c r="B157" s="112"/>
      <c r="C157" s="107"/>
      <c r="D157" s="108"/>
      <c r="E157" s="142"/>
      <c r="F157" s="92"/>
    </row>
    <row r="158" spans="1:19" ht="12.75" customHeight="1" x14ac:dyDescent="0.2">
      <c r="A158" s="33" t="s">
        <v>113</v>
      </c>
      <c r="C158" s="231">
        <v>7.4999999999999997E-2</v>
      </c>
      <c r="E158" s="241">
        <f>(C158*0.67)*(E104+(0.2*E118))</f>
        <v>25.637550000000005</v>
      </c>
      <c r="G158" s="86" t="s">
        <v>59</v>
      </c>
      <c r="H158" s="87"/>
      <c r="I158" s="87"/>
      <c r="J158" s="87"/>
      <c r="K158" s="87"/>
      <c r="L158" s="88"/>
    </row>
    <row r="159" spans="1:19" ht="12.75" customHeight="1" x14ac:dyDescent="0.2">
      <c r="A159" s="15"/>
      <c r="E159" s="6"/>
      <c r="G159" s="4"/>
      <c r="H159" s="4"/>
      <c r="I159" s="45"/>
      <c r="J159" s="45"/>
      <c r="K159" s="4"/>
      <c r="L159" s="45"/>
      <c r="M159" s="45"/>
    </row>
    <row r="160" spans="1:19" ht="12.75" customHeight="1" x14ac:dyDescent="0.2">
      <c r="A160" s="33" t="s">
        <v>85</v>
      </c>
      <c r="B160" s="4"/>
      <c r="C160" s="44"/>
      <c r="D160" s="43"/>
      <c r="E160" s="243">
        <f>E17*0.05</f>
        <v>27.682000000000002</v>
      </c>
    </row>
    <row r="161" spans="1:7" ht="12.75" customHeight="1" x14ac:dyDescent="0.2">
      <c r="A161" s="20" t="s">
        <v>231</v>
      </c>
      <c r="C161" s="16"/>
      <c r="E161" s="243">
        <f>E104+E118+E145+E148+E150+E155+E158+E160</f>
        <v>780.66399444444448</v>
      </c>
    </row>
    <row r="162" spans="1:7" ht="12.75" customHeight="1" x14ac:dyDescent="0.2">
      <c r="A162" s="20" t="s">
        <v>230</v>
      </c>
      <c r="D162" s="16"/>
      <c r="E162" s="243">
        <f>E17-E161</f>
        <v>-227.0239944444445</v>
      </c>
    </row>
    <row r="163" spans="1:7" ht="12.75" customHeight="1" x14ac:dyDescent="0.2">
      <c r="A163" s="20"/>
      <c r="D163" s="16"/>
      <c r="E163" s="195"/>
    </row>
    <row r="164" spans="1:7" ht="12.75" customHeight="1" x14ac:dyDescent="0.2">
      <c r="A164" s="20" t="s">
        <v>169</v>
      </c>
      <c r="D164" s="16"/>
      <c r="E164" s="243">
        <f>(E104+E118+E127+E143+E144+E148+E150+E155+E158+E160)-(E16*0.05)</f>
        <v>703.56399444444446</v>
      </c>
    </row>
    <row r="165" spans="1:7" ht="14.25" x14ac:dyDescent="0.2">
      <c r="A165" s="21"/>
      <c r="C165" s="54"/>
      <c r="D165" s="54"/>
      <c r="E165" s="55"/>
    </row>
    <row r="166" spans="1:7" x14ac:dyDescent="0.2">
      <c r="A166" s="33" t="s">
        <v>165</v>
      </c>
      <c r="B166" s="4"/>
      <c r="C166" s="42"/>
      <c r="D166" s="53"/>
      <c r="E166" s="252">
        <f>E164/C14</f>
        <v>9.2574209795321636</v>
      </c>
    </row>
    <row r="167" spans="1:7" x14ac:dyDescent="0.2">
      <c r="B167" s="4"/>
    </row>
    <row r="168" spans="1:7" x14ac:dyDescent="0.2">
      <c r="C168" s="355" t="s">
        <v>26</v>
      </c>
      <c r="D168" s="356"/>
      <c r="E168" s="356"/>
      <c r="F168" s="356"/>
      <c r="G168" s="357"/>
    </row>
    <row r="169" spans="1:7" x14ac:dyDescent="0.2">
      <c r="C169" s="74"/>
      <c r="D169" s="75"/>
      <c r="E169" s="75"/>
      <c r="F169" s="75"/>
      <c r="G169" s="76"/>
    </row>
    <row r="170" spans="1:7" x14ac:dyDescent="0.2">
      <c r="C170" s="355" t="s">
        <v>397</v>
      </c>
      <c r="D170" s="356"/>
      <c r="E170" s="356"/>
      <c r="F170" s="356"/>
      <c r="G170" s="357"/>
    </row>
    <row r="171" spans="1:7" x14ac:dyDescent="0.2">
      <c r="A171" s="358" t="s">
        <v>24</v>
      </c>
      <c r="B171" s="359"/>
      <c r="C171" s="23"/>
      <c r="D171" s="23"/>
      <c r="E171" s="23"/>
      <c r="F171" s="23"/>
      <c r="G171" s="23"/>
    </row>
    <row r="172" spans="1:7" x14ac:dyDescent="0.2">
      <c r="A172" s="258" t="s">
        <v>27</v>
      </c>
      <c r="B172" s="259" t="s">
        <v>298</v>
      </c>
      <c r="C172" s="355" t="s">
        <v>26</v>
      </c>
      <c r="D172" s="356"/>
      <c r="E172" s="356"/>
      <c r="F172" s="356"/>
      <c r="G172" s="357"/>
    </row>
    <row r="173" spans="1:7" x14ac:dyDescent="0.2">
      <c r="A173" s="24" t="s">
        <v>21</v>
      </c>
      <c r="B173" s="25">
        <f>C14*1.2</f>
        <v>91.2</v>
      </c>
      <c r="C173" s="347">
        <f>(($C$178*B173)+$E$16)-$E$161</f>
        <v>-241.88959444444447</v>
      </c>
      <c r="D173" s="347">
        <f>(($D$178*B173)+$E$16)-$E$161</f>
        <v>-197.29279444444444</v>
      </c>
      <c r="E173" s="347">
        <f>(($E$178*B173)+$E$16)-$E$161</f>
        <v>-152.69599444444452</v>
      </c>
      <c r="F173" s="347">
        <f>(($F$178*B173)+$E$16)-$E$161</f>
        <v>-108.09919444444438</v>
      </c>
      <c r="G173" s="347">
        <f>(($G$178*B173)+$E$16)-$E$161</f>
        <v>-63.502394444444462</v>
      </c>
    </row>
    <row r="174" spans="1:7" x14ac:dyDescent="0.2">
      <c r="A174" s="24" t="s">
        <v>20</v>
      </c>
      <c r="B174" s="25">
        <f>C14*1.1</f>
        <v>83.600000000000009</v>
      </c>
      <c r="C174" s="347">
        <f>(($C$178*B174)+$E$16)-$E$161</f>
        <v>-271.62079444444447</v>
      </c>
      <c r="D174" s="347">
        <f>(($D$178*B174)+$E$16)-$E$161</f>
        <v>-230.74039444444441</v>
      </c>
      <c r="E174" s="347">
        <f>(($E$178*B174)+$E$16)-$E$161</f>
        <v>-189.8599944444444</v>
      </c>
      <c r="F174" s="347">
        <f>(($F$178*B174)+$E$16)-$E$161</f>
        <v>-148.97959444444439</v>
      </c>
      <c r="G174" s="347">
        <f>(($G$178*B174)+$E$16)-$E$161</f>
        <v>-108.09919444444449</v>
      </c>
    </row>
    <row r="175" spans="1:7" x14ac:dyDescent="0.2">
      <c r="A175" s="22"/>
      <c r="B175" s="25">
        <f>C14</f>
        <v>76</v>
      </c>
      <c r="C175" s="347">
        <f>(($C$178*B175)+$E$16)-$E$161</f>
        <v>-301.35199444444447</v>
      </c>
      <c r="D175" s="347">
        <f>(($D$178*B175)+$E$16)-$E$161</f>
        <v>-264.18799444444448</v>
      </c>
      <c r="E175" s="348">
        <f>(($E$178*B175)+$E$16)-$E$161</f>
        <v>-227.0239944444445</v>
      </c>
      <c r="F175" s="347">
        <f>(($F$178*B175)+$E$16)-$E$161</f>
        <v>-189.8599944444444</v>
      </c>
      <c r="G175" s="347">
        <f>(($G$178*B175)+$E$16)-$E$161</f>
        <v>-152.69599444444452</v>
      </c>
    </row>
    <row r="176" spans="1:7" x14ac:dyDescent="0.2">
      <c r="A176" s="24" t="s">
        <v>22</v>
      </c>
      <c r="B176" s="25">
        <f>C14*0.9</f>
        <v>68.400000000000006</v>
      </c>
      <c r="C176" s="347">
        <f>(($C$178*B176)+$E$16)-$E$161</f>
        <v>-331.08319444444447</v>
      </c>
      <c r="D176" s="347">
        <f>(($D$178*B176)+$E$16)-$E$161</f>
        <v>-297.63559444444445</v>
      </c>
      <c r="E176" s="347">
        <f>(($E$178*B176)+$E$16)-$E$161</f>
        <v>-264.18799444444448</v>
      </c>
      <c r="F176" s="347">
        <f>(($F$178*B176)+$E$16)-$E$161</f>
        <v>-230.74039444444441</v>
      </c>
      <c r="G176" s="347">
        <f>(($G$178*B176)+$E$16)-$E$161</f>
        <v>-197.29279444444444</v>
      </c>
    </row>
    <row r="177" spans="1:7" x14ac:dyDescent="0.2">
      <c r="A177" s="24" t="s">
        <v>23</v>
      </c>
      <c r="B177" s="25">
        <f>C14*0.8</f>
        <v>60.800000000000004</v>
      </c>
      <c r="C177" s="347">
        <f>(($C$178*B177)+$E$16)-$E$161</f>
        <v>-360.81439444444447</v>
      </c>
      <c r="D177" s="347">
        <f>(($D$178*B177)+$E$16)-$E$161</f>
        <v>-331.08319444444447</v>
      </c>
      <c r="E177" s="347">
        <f>(($E$178*B177)+$E$16)-$E$161</f>
        <v>-301.35199444444447</v>
      </c>
      <c r="F177" s="347">
        <f>(($F$178*B177)+$E$16)-$E$161</f>
        <v>-271.62079444444441</v>
      </c>
      <c r="G177" s="347">
        <f>(($G$178*B177)+$E$16)-$E$161</f>
        <v>-241.88959444444447</v>
      </c>
    </row>
    <row r="178" spans="1:7" x14ac:dyDescent="0.2">
      <c r="A178" s="257" t="s">
        <v>25</v>
      </c>
      <c r="B178" s="253"/>
      <c r="C178" s="254">
        <f>D14*0.8</f>
        <v>3.9119999999999999</v>
      </c>
      <c r="D178" s="254">
        <f>D14*0.9</f>
        <v>4.4009999999999998</v>
      </c>
      <c r="E178" s="254">
        <f>D14</f>
        <v>4.8899999999999997</v>
      </c>
      <c r="F178" s="254">
        <f>D14*1.1</f>
        <v>5.3790000000000004</v>
      </c>
      <c r="G178" s="254">
        <f>D14*1.2</f>
        <v>5.8679999999999994</v>
      </c>
    </row>
    <row r="179" spans="1:7" x14ac:dyDescent="0.2">
      <c r="A179" s="257" t="s">
        <v>19</v>
      </c>
      <c r="B179" s="253"/>
      <c r="C179" s="255" t="s">
        <v>23</v>
      </c>
      <c r="D179" s="255" t="s">
        <v>22</v>
      </c>
      <c r="E179" s="256"/>
      <c r="F179" s="255" t="s">
        <v>20</v>
      </c>
      <c r="G179" s="255" t="s">
        <v>21</v>
      </c>
    </row>
  </sheetData>
  <sheetProtection algorithmName="SHA-512" hashValue="zvgAv5Vqq4HU1UrXD63DRWJbgE/mBvvef/dNCvV6IB+kogUroC8opT7s+P5kvZEIMhSYsTzYN3+rzoEIJ4Hfkw==" saltValue="c71a3GBlJ7EOx+Hy3ZPWtA==" spinCount="100000" sheet="1" objects="1" scenarios="1"/>
  <mergeCells count="4">
    <mergeCell ref="C168:G168"/>
    <mergeCell ref="C170:G170"/>
    <mergeCell ref="A171:B171"/>
    <mergeCell ref="C172:G172"/>
  </mergeCells>
  <hyperlinks>
    <hyperlink ref="H121" r:id="rId1" xr:uid="{00000000-0004-0000-0500-000000000000}"/>
    <hyperlink ref="H128" r:id="rId2" xr:uid="{00000000-0004-0000-0500-000001000000}"/>
    <hyperlink ref="H122" r:id="rId3" xr:uid="{00000000-0004-0000-0500-000002000000}"/>
    <hyperlink ref="H125" r:id="rId4" xr:uid="{00000000-0004-0000-0500-000003000000}"/>
  </hyperlinks>
  <pageMargins left="0.7" right="0.7" top="0.75" bottom="0.75" header="0.3" footer="0.3"/>
  <pageSetup scale="44" fitToHeight="0" orientation="portrait" verticalDpi="0"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S212"/>
  <sheetViews>
    <sheetView zoomScale="88" zoomScaleNormal="88" workbookViewId="0">
      <selection activeCell="E14" sqref="E14"/>
    </sheetView>
  </sheetViews>
  <sheetFormatPr defaultColWidth="8.42578125" defaultRowHeight="12.75" x14ac:dyDescent="0.2"/>
  <cols>
    <col min="1" max="1" width="26.7109375" customWidth="1"/>
    <col min="2" max="2" width="17.85546875" customWidth="1"/>
    <col min="3" max="3" width="17.42578125" customWidth="1"/>
    <col min="4" max="4" width="15.140625" customWidth="1"/>
    <col min="5" max="5" width="11.28515625" customWidth="1"/>
    <col min="6" max="6" width="11.85546875" customWidth="1"/>
    <col min="7" max="7" width="13.42578125" customWidth="1"/>
    <col min="8" max="9" width="7.42578125" customWidth="1"/>
    <col min="10" max="10" width="8.42578125" customWidth="1"/>
    <col min="11" max="11" width="8" customWidth="1"/>
    <col min="12" max="12" width="13.7109375" customWidth="1"/>
  </cols>
  <sheetData>
    <row r="1" spans="1:14" ht="15.75" customHeight="1" x14ac:dyDescent="0.2">
      <c r="A1" s="20" t="s">
        <v>29</v>
      </c>
      <c r="E1" s="36"/>
    </row>
    <row r="2" spans="1:14" ht="8.25" customHeight="1" x14ac:dyDescent="0.2"/>
    <row r="3" spans="1:14" ht="15" customHeight="1" x14ac:dyDescent="0.2"/>
    <row r="4" spans="1:14" ht="8.25" customHeight="1" x14ac:dyDescent="0.2"/>
    <row r="5" spans="1:14" ht="18.75" customHeight="1" x14ac:dyDescent="0.25">
      <c r="A5" s="2" t="s">
        <v>319</v>
      </c>
      <c r="D5" s="19"/>
      <c r="E5" s="197"/>
    </row>
    <row r="6" spans="1:14" ht="5.25" customHeight="1" x14ac:dyDescent="0.2"/>
    <row r="7" spans="1:14" x14ac:dyDescent="0.2">
      <c r="A7" s="17" t="s">
        <v>83</v>
      </c>
      <c r="E7" s="67"/>
      <c r="I7" s="38"/>
    </row>
    <row r="8" spans="1:14" x14ac:dyDescent="0.2">
      <c r="A8" s="17" t="s">
        <v>228</v>
      </c>
      <c r="E8" s="242"/>
    </row>
    <row r="9" spans="1:14" x14ac:dyDescent="0.2">
      <c r="A9" s="17" t="s">
        <v>71</v>
      </c>
      <c r="E9" s="79"/>
    </row>
    <row r="10" spans="1:14" x14ac:dyDescent="0.2">
      <c r="A10" s="17"/>
      <c r="E10" s="3"/>
    </row>
    <row r="11" spans="1:14" ht="18" x14ac:dyDescent="0.25">
      <c r="A11" s="2" t="s">
        <v>343</v>
      </c>
      <c r="B11" s="345" t="s">
        <v>420</v>
      </c>
      <c r="C11" s="329"/>
    </row>
    <row r="12" spans="1:14" x14ac:dyDescent="0.2">
      <c r="A12" s="119" t="s">
        <v>37</v>
      </c>
      <c r="B12" s="117"/>
      <c r="C12" s="118"/>
      <c r="D12" s="117"/>
      <c r="E12" s="117"/>
      <c r="F12" s="92"/>
    </row>
    <row r="13" spans="1:14" x14ac:dyDescent="0.2">
      <c r="A13" s="17"/>
      <c r="B13" s="7" t="s">
        <v>306</v>
      </c>
      <c r="C13" s="54" t="s">
        <v>307</v>
      </c>
      <c r="D13" s="7" t="s">
        <v>239</v>
      </c>
      <c r="E13" s="7" t="s">
        <v>236</v>
      </c>
      <c r="H13" s="17" t="s">
        <v>170</v>
      </c>
      <c r="I13" s="17"/>
      <c r="J13" s="17"/>
      <c r="K13" s="17"/>
    </row>
    <row r="14" spans="1:14" x14ac:dyDescent="0.2">
      <c r="A14" s="20" t="s">
        <v>216</v>
      </c>
      <c r="B14" s="275">
        <v>0.5</v>
      </c>
      <c r="C14" s="167">
        <v>3</v>
      </c>
      <c r="D14" s="124">
        <v>95</v>
      </c>
      <c r="E14" s="241">
        <f>C14*D14</f>
        <v>285</v>
      </c>
      <c r="H14" s="20" t="s">
        <v>186</v>
      </c>
      <c r="L14" s="124">
        <v>165</v>
      </c>
      <c r="N14" s="20" t="s">
        <v>187</v>
      </c>
    </row>
    <row r="15" spans="1:14" x14ac:dyDescent="0.2">
      <c r="A15" s="20" t="s">
        <v>217</v>
      </c>
      <c r="B15" s="275">
        <v>0.6</v>
      </c>
      <c r="C15" s="167">
        <v>3</v>
      </c>
      <c r="D15" s="124">
        <v>45</v>
      </c>
      <c r="E15" s="241">
        <f>C15*D15</f>
        <v>135</v>
      </c>
      <c r="H15" s="20" t="s">
        <v>184</v>
      </c>
      <c r="L15" s="330">
        <v>0.5</v>
      </c>
    </row>
    <row r="16" spans="1:14" x14ac:dyDescent="0.2">
      <c r="A16" s="20" t="s">
        <v>214</v>
      </c>
      <c r="C16" s="299">
        <f>C14*(1-B14)</f>
        <v>1.5</v>
      </c>
      <c r="E16" s="232"/>
      <c r="H16" s="20" t="s">
        <v>185</v>
      </c>
      <c r="L16" s="241">
        <f>(L14/0.87)*(1-L15)</f>
        <v>94.827586206896555</v>
      </c>
    </row>
    <row r="17" spans="1:18" x14ac:dyDescent="0.2">
      <c r="A17" s="20" t="s">
        <v>215</v>
      </c>
      <c r="C17" s="299">
        <f>C15*(1-B15)</f>
        <v>1.2000000000000002</v>
      </c>
      <c r="E17" s="232"/>
      <c r="H17" s="20"/>
      <c r="L17" s="233"/>
    </row>
    <row r="18" spans="1:18" x14ac:dyDescent="0.2">
      <c r="A18" s="152" t="s">
        <v>199</v>
      </c>
      <c r="B18" s="159"/>
      <c r="C18" s="157"/>
      <c r="D18" s="159"/>
      <c r="E18" s="243">
        <f>SUM(E14:E15)</f>
        <v>420</v>
      </c>
    </row>
    <row r="19" spans="1:18" x14ac:dyDescent="0.2">
      <c r="A19" s="119" t="s">
        <v>40</v>
      </c>
      <c r="B19" s="120"/>
      <c r="C19" s="121"/>
      <c r="D19" s="120"/>
      <c r="E19" s="120"/>
      <c r="F19" s="122"/>
    </row>
    <row r="20" spans="1:18" ht="12" customHeight="1" x14ac:dyDescent="0.2">
      <c r="A20" s="17"/>
      <c r="B20" s="4"/>
      <c r="C20" s="3"/>
      <c r="D20" s="4"/>
      <c r="E20" s="4"/>
    </row>
    <row r="21" spans="1:18" x14ac:dyDescent="0.2">
      <c r="A21" s="111" t="s">
        <v>4</v>
      </c>
      <c r="B21" s="92"/>
      <c r="C21" s="112"/>
      <c r="D21" s="112"/>
      <c r="E21" s="112"/>
      <c r="F21" s="92"/>
    </row>
    <row r="22" spans="1:18" ht="15" customHeight="1" x14ac:dyDescent="0.2">
      <c r="A22" s="98" t="s">
        <v>88</v>
      </c>
      <c r="B22" s="99"/>
      <c r="C22" s="100"/>
      <c r="D22" s="100"/>
      <c r="E22" s="100"/>
      <c r="F22" s="97"/>
      <c r="H22" s="17"/>
      <c r="J22" s="17"/>
      <c r="M22" s="20"/>
    </row>
    <row r="23" spans="1:18" x14ac:dyDescent="0.2">
      <c r="A23" s="33"/>
      <c r="B23" s="7" t="s">
        <v>237</v>
      </c>
      <c r="C23" s="7" t="s">
        <v>238</v>
      </c>
      <c r="D23" s="7" t="s">
        <v>239</v>
      </c>
      <c r="E23" s="7" t="s">
        <v>240</v>
      </c>
      <c r="G23" s="65"/>
      <c r="H23" s="17"/>
      <c r="J23" s="17"/>
      <c r="K23" s="17"/>
      <c r="M23" s="20"/>
    </row>
    <row r="24" spans="1:18" x14ac:dyDescent="0.2">
      <c r="A24" s="39" t="s">
        <v>303</v>
      </c>
      <c r="B24" s="207"/>
      <c r="C24" s="78">
        <v>0</v>
      </c>
      <c r="D24" s="90"/>
      <c r="E24" s="244">
        <f>((D24/2000)*B24*C24)</f>
        <v>0</v>
      </c>
      <c r="G24" s="48"/>
      <c r="H24" s="6"/>
      <c r="I24" s="48"/>
      <c r="J24" s="6"/>
      <c r="O24" s="20"/>
      <c r="P24" s="20"/>
      <c r="Q24" s="20"/>
      <c r="R24" s="20"/>
    </row>
    <row r="25" spans="1:18" x14ac:dyDescent="0.2">
      <c r="A25" s="39"/>
      <c r="B25" s="40"/>
      <c r="C25" s="47"/>
      <c r="D25" s="10"/>
      <c r="E25" s="46"/>
      <c r="G25" s="48"/>
      <c r="H25" s="6"/>
      <c r="I25" s="48"/>
      <c r="J25" s="6"/>
      <c r="O25" s="20"/>
      <c r="P25" s="20"/>
      <c r="Q25" s="20"/>
      <c r="R25" s="20"/>
    </row>
    <row r="26" spans="1:18" x14ac:dyDescent="0.2">
      <c r="A26" s="33"/>
      <c r="C26" s="7" t="s">
        <v>87</v>
      </c>
      <c r="D26" s="7" t="s">
        <v>239</v>
      </c>
      <c r="E26" s="7" t="s">
        <v>240</v>
      </c>
      <c r="G26" s="65"/>
      <c r="H26" s="17"/>
      <c r="J26" s="17"/>
      <c r="K26" s="17"/>
      <c r="M26" s="20"/>
    </row>
    <row r="27" spans="1:18" x14ac:dyDescent="0.2">
      <c r="A27" s="208" t="s">
        <v>171</v>
      </c>
      <c r="B27" s="4"/>
      <c r="C27" s="68">
        <v>100</v>
      </c>
      <c r="D27" s="90">
        <v>520</v>
      </c>
      <c r="E27" s="245">
        <f>C27*(D27/2000)</f>
        <v>26</v>
      </c>
      <c r="G27" s="5"/>
      <c r="H27" s="1"/>
      <c r="J27" s="56"/>
    </row>
    <row r="28" spans="1:18" x14ac:dyDescent="0.2">
      <c r="A28" s="208" t="s">
        <v>66</v>
      </c>
      <c r="B28" s="4"/>
      <c r="C28" s="77"/>
      <c r="D28" s="90">
        <v>0</v>
      </c>
      <c r="E28" s="246">
        <f>C28*(D28/2000)</f>
        <v>0</v>
      </c>
      <c r="G28" s="5"/>
      <c r="H28" s="1"/>
      <c r="J28" s="56"/>
    </row>
    <row r="29" spans="1:18" x14ac:dyDescent="0.2">
      <c r="A29" s="209" t="s">
        <v>66</v>
      </c>
      <c r="B29" s="4"/>
      <c r="C29" s="77"/>
      <c r="D29" s="193"/>
      <c r="E29" s="246">
        <f>C29*(D29/2000)</f>
        <v>0</v>
      </c>
      <c r="G29" s="5"/>
      <c r="H29" s="1"/>
      <c r="J29" s="56"/>
    </row>
    <row r="30" spans="1:18" x14ac:dyDescent="0.2">
      <c r="A30" s="208"/>
      <c r="B30" s="4"/>
      <c r="C30" s="68"/>
      <c r="D30" s="90"/>
      <c r="E30" s="245">
        <f>C30*(D30/2000)</f>
        <v>0</v>
      </c>
      <c r="G30" s="5"/>
      <c r="H30" s="1"/>
      <c r="J30" s="56"/>
    </row>
    <row r="31" spans="1:18" x14ac:dyDescent="0.2">
      <c r="A31" s="94"/>
      <c r="B31" s="4"/>
      <c r="C31" s="42"/>
      <c r="D31" s="93"/>
      <c r="E31" s="93"/>
      <c r="G31" s="5"/>
      <c r="H31" s="1"/>
      <c r="J31" s="56"/>
    </row>
    <row r="32" spans="1:18" ht="14.25" customHeight="1" x14ac:dyDescent="0.2">
      <c r="A32" s="95" t="s">
        <v>135</v>
      </c>
      <c r="B32" s="96"/>
      <c r="C32" s="160"/>
      <c r="D32" s="161"/>
      <c r="E32" s="161"/>
      <c r="F32" s="97"/>
    </row>
    <row r="33" spans="1:12" ht="14.25" customHeight="1" x14ac:dyDescent="0.2">
      <c r="A33" s="48" t="s">
        <v>304</v>
      </c>
      <c r="C33" s="219" t="s">
        <v>68</v>
      </c>
      <c r="D33" s="7" t="s">
        <v>69</v>
      </c>
      <c r="E33" s="7" t="s">
        <v>240</v>
      </c>
    </row>
    <row r="34" spans="1:12" ht="14.25" customHeight="1" x14ac:dyDescent="0.2">
      <c r="A34" s="201" t="s">
        <v>14</v>
      </c>
      <c r="B34" s="40"/>
      <c r="C34" s="68">
        <v>0</v>
      </c>
      <c r="D34" s="90">
        <v>0.6</v>
      </c>
      <c r="E34" s="245">
        <f>C34*D34</f>
        <v>0</v>
      </c>
    </row>
    <row r="35" spans="1:12" ht="14.25" customHeight="1" x14ac:dyDescent="0.2">
      <c r="A35" s="220" t="s">
        <v>15</v>
      </c>
      <c r="B35" s="4"/>
      <c r="C35" s="68"/>
      <c r="D35" s="90"/>
      <c r="E35" s="245">
        <f t="shared" ref="E35:E37" si="0">C35*D35</f>
        <v>0</v>
      </c>
    </row>
    <row r="36" spans="1:12" ht="13.5" customHeight="1" x14ac:dyDescent="0.2">
      <c r="A36" s="220" t="s">
        <v>16</v>
      </c>
      <c r="B36" s="4"/>
      <c r="C36" s="68"/>
      <c r="D36" s="90"/>
      <c r="E36" s="245">
        <f t="shared" si="0"/>
        <v>0</v>
      </c>
      <c r="G36" s="72"/>
      <c r="H36" s="16"/>
      <c r="I36" s="16"/>
      <c r="J36" s="7"/>
      <c r="K36" s="17"/>
      <c r="L36" s="17"/>
    </row>
    <row r="37" spans="1:12" ht="14.25" customHeight="1" x14ac:dyDescent="0.2">
      <c r="A37" s="221" t="s">
        <v>17</v>
      </c>
      <c r="B37" s="4"/>
      <c r="C37" s="68"/>
      <c r="D37" s="90"/>
      <c r="E37" s="246">
        <f t="shared" si="0"/>
        <v>0</v>
      </c>
      <c r="G37" s="5"/>
      <c r="H37" s="6"/>
      <c r="I37" s="6"/>
      <c r="J37" s="6"/>
      <c r="K37" s="6"/>
    </row>
    <row r="38" spans="1:12" ht="14.25" customHeight="1" x14ac:dyDescent="0.2">
      <c r="A38" s="199" t="s">
        <v>86</v>
      </c>
      <c r="B38" s="4"/>
      <c r="C38" s="42"/>
      <c r="D38" s="93"/>
      <c r="E38" s="210">
        <v>0</v>
      </c>
      <c r="G38" s="5"/>
      <c r="H38" s="6"/>
      <c r="I38" s="6"/>
      <c r="J38" s="6"/>
      <c r="K38" s="6"/>
    </row>
    <row r="39" spans="1:12" ht="14.25" customHeight="1" x14ac:dyDescent="0.2">
      <c r="A39" s="82" t="s">
        <v>136</v>
      </c>
      <c r="B39" s="81"/>
      <c r="C39" s="42"/>
      <c r="D39" s="93"/>
      <c r="E39" s="90">
        <v>0</v>
      </c>
      <c r="G39" s="5"/>
      <c r="H39" s="6"/>
      <c r="I39" s="6"/>
      <c r="J39" s="6"/>
      <c r="K39" s="6"/>
    </row>
    <row r="40" spans="1:12" ht="14.25" x14ac:dyDescent="0.25">
      <c r="A40" s="32"/>
      <c r="B40" s="4"/>
      <c r="C40" s="7" t="s">
        <v>193</v>
      </c>
      <c r="D40" s="223" t="s">
        <v>265</v>
      </c>
      <c r="E40" s="46"/>
      <c r="G40" s="65"/>
      <c r="I40" s="6"/>
    </row>
    <row r="41" spans="1:12" x14ac:dyDescent="0.2">
      <c r="A41" s="94" t="s">
        <v>192</v>
      </c>
      <c r="C41" s="68">
        <v>45</v>
      </c>
      <c r="D41" s="210">
        <v>0.81</v>
      </c>
      <c r="E41" s="247">
        <f t="shared" ref="E41" si="1">C41*D41</f>
        <v>36.450000000000003</v>
      </c>
      <c r="G41" s="48"/>
      <c r="H41" s="6"/>
    </row>
    <row r="42" spans="1:12" ht="14.25" customHeight="1" x14ac:dyDescent="0.25">
      <c r="A42" s="39"/>
      <c r="B42" s="4"/>
      <c r="C42" s="7" t="s">
        <v>194</v>
      </c>
      <c r="D42" s="223" t="s">
        <v>264</v>
      </c>
      <c r="E42" s="46"/>
      <c r="G42" s="5"/>
      <c r="H42" s="6"/>
      <c r="K42" s="17"/>
    </row>
    <row r="43" spans="1:12" ht="14.25" customHeight="1" x14ac:dyDescent="0.2">
      <c r="A43" s="222" t="s">
        <v>13</v>
      </c>
      <c r="C43" s="68">
        <v>130</v>
      </c>
      <c r="D43" s="90">
        <v>0.43</v>
      </c>
      <c r="E43" s="245">
        <f>C43*D43</f>
        <v>55.9</v>
      </c>
      <c r="G43" s="72"/>
      <c r="H43" s="16"/>
      <c r="I43" s="73"/>
      <c r="J43" s="73"/>
      <c r="K43" s="7"/>
      <c r="L43" s="7"/>
    </row>
    <row r="44" spans="1:12" ht="14.25" customHeight="1" x14ac:dyDescent="0.2">
      <c r="C44" s="12"/>
      <c r="G44" s="5"/>
      <c r="H44" s="1"/>
      <c r="I44" s="1"/>
      <c r="J44" s="1"/>
      <c r="K44" s="1"/>
      <c r="L44" s="1"/>
    </row>
    <row r="45" spans="1:12" ht="14.25" customHeight="1" x14ac:dyDescent="0.2">
      <c r="A45" s="199" t="s">
        <v>133</v>
      </c>
      <c r="B45" s="4"/>
      <c r="C45" s="9"/>
      <c r="D45" s="10"/>
      <c r="E45" s="90">
        <v>0</v>
      </c>
      <c r="G45" s="5"/>
      <c r="H45" s="6"/>
      <c r="I45" s="6"/>
      <c r="J45" s="6"/>
      <c r="K45" s="6"/>
      <c r="L45" s="6"/>
    </row>
    <row r="46" spans="1:12" ht="14.25" customHeight="1" x14ac:dyDescent="0.2">
      <c r="A46" s="166"/>
      <c r="B46" s="4"/>
      <c r="C46" s="9"/>
      <c r="D46" s="10"/>
      <c r="E46" s="102"/>
      <c r="G46" s="5"/>
      <c r="H46" s="6"/>
      <c r="I46" s="6"/>
      <c r="J46" s="6"/>
      <c r="K46" s="6"/>
      <c r="L46" s="6"/>
    </row>
    <row r="47" spans="1:12" ht="14.25" customHeight="1" x14ac:dyDescent="0.2">
      <c r="A47" s="199" t="s">
        <v>7</v>
      </c>
      <c r="B47" s="4"/>
      <c r="C47" s="9"/>
      <c r="D47" s="10"/>
      <c r="E47" s="90">
        <v>0</v>
      </c>
      <c r="G47" s="5"/>
      <c r="H47" s="6"/>
      <c r="I47" s="6"/>
      <c r="J47" s="6"/>
      <c r="K47" s="6"/>
      <c r="L47" s="6"/>
    </row>
    <row r="48" spans="1:12" ht="14.25" customHeight="1" x14ac:dyDescent="0.2">
      <c r="A48" s="199"/>
      <c r="B48" s="4"/>
      <c r="C48" s="9"/>
      <c r="D48" s="10"/>
      <c r="E48" s="90">
        <v>0</v>
      </c>
      <c r="G48" s="5"/>
      <c r="H48" s="6"/>
      <c r="I48" s="6"/>
      <c r="J48" s="6"/>
      <c r="K48" s="6"/>
      <c r="L48" s="6"/>
    </row>
    <row r="49" spans="1:12" ht="14.25" customHeight="1" x14ac:dyDescent="0.2">
      <c r="A49" s="199"/>
      <c r="B49" s="4"/>
      <c r="C49" s="9"/>
      <c r="D49" s="10"/>
      <c r="E49" s="90">
        <v>0</v>
      </c>
      <c r="G49" s="5"/>
      <c r="H49" s="6"/>
      <c r="I49" s="6"/>
      <c r="J49" s="6"/>
      <c r="K49" s="6"/>
      <c r="L49" s="6"/>
    </row>
    <row r="50" spans="1:12" ht="14.25" customHeight="1" x14ac:dyDescent="0.2">
      <c r="A50" s="33" t="s">
        <v>247</v>
      </c>
      <c r="B50" s="101"/>
      <c r="C50" s="219" t="s">
        <v>72</v>
      </c>
      <c r="D50" s="54" t="s">
        <v>255</v>
      </c>
      <c r="E50" s="10"/>
      <c r="G50" s="5"/>
      <c r="H50" s="6"/>
      <c r="I50" s="6"/>
      <c r="J50" s="6"/>
      <c r="K50" s="6"/>
      <c r="L50" s="6"/>
    </row>
    <row r="51" spans="1:12" ht="14.25" customHeight="1" x14ac:dyDescent="0.2">
      <c r="A51" s="199" t="s">
        <v>89</v>
      </c>
      <c r="B51" s="4"/>
      <c r="C51" s="68">
        <v>1</v>
      </c>
      <c r="D51" s="90">
        <v>9</v>
      </c>
      <c r="E51" s="245">
        <f>D51*C51</f>
        <v>9</v>
      </c>
      <c r="G51" s="5"/>
      <c r="H51" s="6"/>
      <c r="I51" s="6"/>
      <c r="J51" s="6"/>
      <c r="K51" s="6"/>
      <c r="L51" s="6"/>
    </row>
    <row r="52" spans="1:12" ht="14.25" customHeight="1" x14ac:dyDescent="0.2">
      <c r="A52" s="199"/>
      <c r="B52" s="4"/>
      <c r="C52" s="68"/>
      <c r="D52" s="90"/>
      <c r="E52" s="245">
        <f t="shared" ref="E52:E53" si="2">D52*C52</f>
        <v>0</v>
      </c>
      <c r="G52" s="5"/>
      <c r="H52" s="6"/>
      <c r="I52" s="6"/>
      <c r="J52" s="6"/>
      <c r="K52" s="6"/>
      <c r="L52" s="6"/>
    </row>
    <row r="53" spans="1:12" ht="14.25" customHeight="1" x14ac:dyDescent="0.2">
      <c r="A53" s="199"/>
      <c r="B53" s="4"/>
      <c r="C53" s="68"/>
      <c r="D53" s="90"/>
      <c r="E53" s="245">
        <f t="shared" si="2"/>
        <v>0</v>
      </c>
      <c r="G53" s="5"/>
      <c r="H53" s="6"/>
      <c r="I53" s="6"/>
      <c r="J53" s="6"/>
      <c r="K53" s="6"/>
      <c r="L53" s="6"/>
    </row>
    <row r="54" spans="1:12" ht="14.25" customHeight="1" x14ac:dyDescent="0.2">
      <c r="A54" s="33"/>
      <c r="B54" s="4"/>
      <c r="C54" s="9"/>
      <c r="D54" s="10"/>
      <c r="E54" s="10"/>
      <c r="G54" s="5"/>
      <c r="H54" s="6"/>
      <c r="I54" s="6"/>
      <c r="J54" s="6"/>
      <c r="K54" s="6"/>
      <c r="L54" s="6"/>
    </row>
    <row r="55" spans="1:12" x14ac:dyDescent="0.2">
      <c r="B55" s="7" t="s">
        <v>262</v>
      </c>
      <c r="C55" s="7" t="s">
        <v>263</v>
      </c>
      <c r="D55" s="54" t="s">
        <v>239</v>
      </c>
      <c r="E55" s="7" t="s">
        <v>240</v>
      </c>
    </row>
    <row r="56" spans="1:12" x14ac:dyDescent="0.2">
      <c r="A56" s="4" t="s">
        <v>80</v>
      </c>
      <c r="B56" s="211">
        <v>1</v>
      </c>
      <c r="C56" s="69">
        <v>0</v>
      </c>
      <c r="D56" s="124"/>
      <c r="E56" s="245">
        <f>(D56*C56)/B56</f>
        <v>0</v>
      </c>
      <c r="H56" s="80"/>
    </row>
    <row r="57" spans="1:12" x14ac:dyDescent="0.2">
      <c r="A57" s="15"/>
      <c r="B57" s="40"/>
      <c r="C57" s="125"/>
      <c r="D57" s="224" t="s">
        <v>240</v>
      </c>
      <c r="E57" s="102"/>
      <c r="H57" s="80"/>
    </row>
    <row r="58" spans="1:12" x14ac:dyDescent="0.2">
      <c r="A58" s="33" t="s">
        <v>98</v>
      </c>
      <c r="B58" s="4"/>
      <c r="C58" s="123"/>
      <c r="D58" s="124"/>
      <c r="E58" s="245">
        <f>D58/B56</f>
        <v>0</v>
      </c>
      <c r="H58" s="80"/>
    </row>
    <row r="59" spans="1:12" x14ac:dyDescent="0.2">
      <c r="A59" s="15"/>
      <c r="B59" s="84"/>
      <c r="C59" s="20"/>
      <c r="D59" s="1"/>
      <c r="E59" s="6"/>
      <c r="H59" s="80"/>
    </row>
    <row r="60" spans="1:12" x14ac:dyDescent="0.2">
      <c r="A60" s="152" t="s">
        <v>197</v>
      </c>
      <c r="B60" s="159"/>
      <c r="C60" s="159"/>
      <c r="D60" s="159"/>
      <c r="E60" s="243">
        <f>SUM(E24:E59)</f>
        <v>127.35</v>
      </c>
      <c r="G60" s="33"/>
      <c r="H60" s="33"/>
    </row>
    <row r="61" spans="1:12" x14ac:dyDescent="0.2">
      <c r="A61" s="111" t="s">
        <v>94</v>
      </c>
      <c r="B61" s="92"/>
      <c r="C61" s="92"/>
      <c r="D61" s="92"/>
      <c r="E61" s="92"/>
      <c r="F61" s="92"/>
      <c r="G61" s="33"/>
      <c r="H61" s="33"/>
    </row>
    <row r="62" spans="1:12" x14ac:dyDescent="0.2">
      <c r="A62" s="20" t="s">
        <v>182</v>
      </c>
      <c r="B62" s="60">
        <v>1</v>
      </c>
      <c r="G62" s="33"/>
      <c r="H62" s="33"/>
    </row>
    <row r="63" spans="1:12" x14ac:dyDescent="0.2">
      <c r="A63" s="18"/>
      <c r="B63" s="4"/>
      <c r="C63" s="54" t="s">
        <v>313</v>
      </c>
      <c r="D63" s="54" t="s">
        <v>314</v>
      </c>
      <c r="E63" s="7" t="s">
        <v>240</v>
      </c>
      <c r="G63" s="33"/>
      <c r="H63" s="33"/>
    </row>
    <row r="64" spans="1:12" x14ac:dyDescent="0.2">
      <c r="A64" s="199" t="s">
        <v>172</v>
      </c>
      <c r="B64" s="40"/>
      <c r="C64" s="68">
        <v>15</v>
      </c>
      <c r="D64" s="169">
        <v>350</v>
      </c>
      <c r="E64" s="245">
        <f>((C64/50)*D64)/$B$62</f>
        <v>105</v>
      </c>
      <c r="G64" s="33"/>
      <c r="H64" s="33"/>
    </row>
    <row r="65" spans="1:8" x14ac:dyDescent="0.2">
      <c r="A65" s="199" t="s">
        <v>174</v>
      </c>
      <c r="B65" s="40"/>
      <c r="C65" s="68"/>
      <c r="D65" s="169"/>
      <c r="E65" s="245">
        <f t="shared" ref="E65:E67" si="3">((C65/50)*D65)/$B$62</f>
        <v>0</v>
      </c>
      <c r="G65" s="33"/>
      <c r="H65" s="33"/>
    </row>
    <row r="66" spans="1:8" x14ac:dyDescent="0.2">
      <c r="A66" s="199"/>
      <c r="B66" s="40"/>
      <c r="C66" s="68"/>
      <c r="D66" s="169"/>
      <c r="E66" s="245">
        <f t="shared" si="3"/>
        <v>0</v>
      </c>
      <c r="G66" s="33"/>
      <c r="H66" s="33"/>
    </row>
    <row r="67" spans="1:8" x14ac:dyDescent="0.2">
      <c r="A67" s="60"/>
      <c r="B67" s="40"/>
      <c r="C67" s="68"/>
      <c r="D67" s="169"/>
      <c r="E67" s="245">
        <f t="shared" si="3"/>
        <v>0</v>
      </c>
      <c r="G67" s="33"/>
      <c r="H67" s="33"/>
    </row>
    <row r="68" spans="1:8" x14ac:dyDescent="0.2">
      <c r="A68" s="5"/>
      <c r="B68" s="5"/>
      <c r="C68" s="7" t="s">
        <v>298</v>
      </c>
      <c r="D68" s="54" t="s">
        <v>235</v>
      </c>
      <c r="E68" s="7" t="s">
        <v>240</v>
      </c>
    </row>
    <row r="69" spans="1:8" x14ac:dyDescent="0.2">
      <c r="A69" s="48" t="s">
        <v>173</v>
      </c>
      <c r="B69" s="48"/>
      <c r="C69" s="77">
        <v>2</v>
      </c>
      <c r="D69" s="170">
        <v>25</v>
      </c>
      <c r="E69" s="248">
        <f>D69*C69</f>
        <v>50</v>
      </c>
    </row>
    <row r="70" spans="1:8" x14ac:dyDescent="0.2">
      <c r="A70" s="48" t="s">
        <v>81</v>
      </c>
      <c r="B70" s="48"/>
      <c r="C70" s="68"/>
      <c r="D70" s="169"/>
      <c r="E70" s="324">
        <f>D70*C70</f>
        <v>0</v>
      </c>
    </row>
    <row r="71" spans="1:8" x14ac:dyDescent="0.2">
      <c r="A71" s="48"/>
      <c r="B71" s="48"/>
      <c r="C71" s="225" t="s">
        <v>260</v>
      </c>
      <c r="D71" s="234" t="s">
        <v>261</v>
      </c>
      <c r="E71" s="227" t="s">
        <v>240</v>
      </c>
    </row>
    <row r="72" spans="1:8" x14ac:dyDescent="0.2">
      <c r="A72" s="48" t="s">
        <v>81</v>
      </c>
      <c r="B72" s="48"/>
      <c r="C72" s="68"/>
      <c r="D72" s="169"/>
      <c r="E72" s="324">
        <f>D72*C72</f>
        <v>0</v>
      </c>
    </row>
    <row r="73" spans="1:8" x14ac:dyDescent="0.2">
      <c r="A73" s="146" t="s">
        <v>196</v>
      </c>
      <c r="B73" s="153"/>
      <c r="C73" s="158"/>
      <c r="D73" s="157"/>
      <c r="E73" s="249">
        <f>E64+E69+E70+E72</f>
        <v>155</v>
      </c>
    </row>
    <row r="74" spans="1:8" x14ac:dyDescent="0.2">
      <c r="A74" s="110" t="s">
        <v>92</v>
      </c>
      <c r="B74" s="106"/>
      <c r="C74" s="107"/>
      <c r="D74" s="108"/>
      <c r="E74" s="145"/>
      <c r="F74" s="92"/>
    </row>
    <row r="75" spans="1:8" x14ac:dyDescent="0.2">
      <c r="A75" s="65" t="s">
        <v>2</v>
      </c>
      <c r="B75" s="4"/>
      <c r="C75" s="162"/>
      <c r="D75" s="83"/>
      <c r="E75" s="8" t="s">
        <v>67</v>
      </c>
      <c r="G75" s="31"/>
      <c r="H75" s="31"/>
    </row>
    <row r="76" spans="1:8" x14ac:dyDescent="0.2">
      <c r="A76" s="33" t="s">
        <v>126</v>
      </c>
      <c r="B76" s="4"/>
      <c r="C76" s="162"/>
      <c r="D76" s="83"/>
      <c r="E76" s="217">
        <v>0</v>
      </c>
      <c r="G76" s="31"/>
      <c r="H76" s="31"/>
    </row>
    <row r="77" spans="1:8" x14ac:dyDescent="0.2">
      <c r="A77" s="40" t="s">
        <v>99</v>
      </c>
      <c r="B77" s="4"/>
      <c r="C77" s="162"/>
      <c r="D77" s="83"/>
      <c r="E77" s="90">
        <v>0</v>
      </c>
      <c r="G77" s="31"/>
      <c r="H77" s="31"/>
    </row>
    <row r="78" spans="1:8" x14ac:dyDescent="0.2">
      <c r="A78" s="33" t="s">
        <v>127</v>
      </c>
      <c r="B78" s="4"/>
      <c r="C78" s="9"/>
      <c r="D78" s="163"/>
      <c r="E78" s="90">
        <v>0</v>
      </c>
      <c r="G78" s="31"/>
      <c r="H78" s="31"/>
    </row>
    <row r="79" spans="1:8" x14ac:dyDescent="0.2">
      <c r="A79" s="40" t="s">
        <v>99</v>
      </c>
      <c r="B79" s="4"/>
      <c r="C79" s="9"/>
      <c r="D79" s="163"/>
      <c r="E79" s="90">
        <v>0</v>
      </c>
      <c r="G79" s="31"/>
      <c r="H79" s="31"/>
    </row>
    <row r="80" spans="1:8" x14ac:dyDescent="0.2">
      <c r="A80" s="33" t="s">
        <v>128</v>
      </c>
      <c r="B80" s="4"/>
      <c r="C80" s="9"/>
      <c r="D80" s="163"/>
      <c r="E80" s="90">
        <v>0</v>
      </c>
      <c r="G80" s="31"/>
      <c r="H80" s="31"/>
    </row>
    <row r="81" spans="1:8" x14ac:dyDescent="0.2">
      <c r="A81" s="40" t="s">
        <v>99</v>
      </c>
      <c r="B81" s="4"/>
      <c r="C81" s="9"/>
      <c r="D81" s="163"/>
      <c r="E81" s="90">
        <v>0</v>
      </c>
      <c r="G81" s="31"/>
      <c r="H81" s="31"/>
    </row>
    <row r="82" spans="1:8" x14ac:dyDescent="0.2">
      <c r="A82" s="143" t="s">
        <v>129</v>
      </c>
      <c r="B82" s="3"/>
      <c r="C82" s="42"/>
      <c r="D82" s="164"/>
      <c r="E82" s="90">
        <v>0</v>
      </c>
      <c r="G82" s="30"/>
      <c r="H82" s="30"/>
    </row>
    <row r="83" spans="1:8" x14ac:dyDescent="0.2">
      <c r="A83" s="143" t="s">
        <v>99</v>
      </c>
      <c r="B83" s="3"/>
      <c r="C83" s="42"/>
      <c r="D83" s="164"/>
      <c r="E83" s="90">
        <v>0</v>
      </c>
      <c r="G83" s="20"/>
      <c r="H83" s="20"/>
    </row>
    <row r="84" spans="1:8" x14ac:dyDescent="0.2">
      <c r="A84" s="65" t="s">
        <v>8</v>
      </c>
      <c r="B84" s="4"/>
      <c r="C84" s="9"/>
      <c r="D84" s="3"/>
      <c r="E84" s="169">
        <v>0</v>
      </c>
    </row>
    <row r="85" spans="1:8" x14ac:dyDescent="0.2">
      <c r="A85" s="40" t="s">
        <v>130</v>
      </c>
      <c r="B85" s="4"/>
      <c r="C85" s="9"/>
      <c r="D85" s="3"/>
      <c r="E85" s="169">
        <v>0</v>
      </c>
    </row>
    <row r="86" spans="1:8" x14ac:dyDescent="0.2">
      <c r="A86" s="40" t="s">
        <v>99</v>
      </c>
      <c r="B86" s="4"/>
      <c r="C86" s="9"/>
      <c r="D86" s="3"/>
      <c r="E86" s="169">
        <v>0</v>
      </c>
    </row>
    <row r="87" spans="1:8" x14ac:dyDescent="0.2">
      <c r="A87" s="37" t="s">
        <v>131</v>
      </c>
      <c r="B87" s="3"/>
      <c r="C87" s="42"/>
      <c r="D87" s="164"/>
      <c r="E87" s="90">
        <v>0</v>
      </c>
    </row>
    <row r="88" spans="1:8" x14ac:dyDescent="0.2">
      <c r="A88" s="37" t="s">
        <v>99</v>
      </c>
      <c r="B88" s="3"/>
      <c r="C88" s="42"/>
      <c r="D88" s="164"/>
      <c r="E88" s="90">
        <v>0</v>
      </c>
    </row>
    <row r="89" spans="1:8" x14ac:dyDescent="0.2">
      <c r="A89" s="37" t="s">
        <v>131</v>
      </c>
      <c r="B89" s="3"/>
      <c r="C89" s="42"/>
      <c r="D89" s="164"/>
      <c r="E89" s="90">
        <v>0</v>
      </c>
    </row>
    <row r="90" spans="1:8" x14ac:dyDescent="0.2">
      <c r="A90" s="37" t="s">
        <v>99</v>
      </c>
      <c r="B90" s="3"/>
      <c r="C90" s="42"/>
      <c r="D90" s="164"/>
      <c r="E90" s="90">
        <v>0</v>
      </c>
    </row>
    <row r="91" spans="1:8" x14ac:dyDescent="0.2">
      <c r="A91" s="65" t="s">
        <v>12</v>
      </c>
      <c r="B91" s="4"/>
      <c r="C91" s="9"/>
      <c r="D91" s="3"/>
      <c r="E91" s="169">
        <v>0</v>
      </c>
    </row>
    <row r="92" spans="1:8" ht="13.5" customHeight="1" x14ac:dyDescent="0.2">
      <c r="A92" s="37" t="s">
        <v>175</v>
      </c>
      <c r="B92" s="3"/>
      <c r="C92" s="42"/>
      <c r="D92" s="164"/>
      <c r="E92" s="90">
        <v>0</v>
      </c>
      <c r="H92" s="20"/>
    </row>
    <row r="93" spans="1:8" x14ac:dyDescent="0.2">
      <c r="A93" s="37" t="s">
        <v>99</v>
      </c>
      <c r="B93" s="3"/>
      <c r="C93" s="42"/>
      <c r="D93" s="164"/>
      <c r="E93" s="90">
        <v>0</v>
      </c>
    </row>
    <row r="94" spans="1:8" x14ac:dyDescent="0.2">
      <c r="A94" s="37" t="s">
        <v>176</v>
      </c>
      <c r="B94" s="3"/>
      <c r="C94" s="42"/>
      <c r="D94" s="164"/>
      <c r="E94" s="90">
        <v>0</v>
      </c>
    </row>
    <row r="95" spans="1:8" x14ac:dyDescent="0.2">
      <c r="A95" s="37" t="s">
        <v>99</v>
      </c>
      <c r="B95" s="3"/>
      <c r="C95" s="42"/>
      <c r="D95" s="164"/>
      <c r="E95" s="90">
        <v>0</v>
      </c>
    </row>
    <row r="96" spans="1:8" x14ac:dyDescent="0.2">
      <c r="A96" s="37" t="s">
        <v>177</v>
      </c>
      <c r="B96" s="3"/>
      <c r="C96" s="42"/>
      <c r="D96" s="164"/>
      <c r="E96" s="90">
        <v>0</v>
      </c>
    </row>
    <row r="97" spans="1:8" x14ac:dyDescent="0.2">
      <c r="A97" s="37" t="s">
        <v>99</v>
      </c>
      <c r="B97" s="3"/>
      <c r="C97" s="42"/>
      <c r="D97" s="164"/>
      <c r="E97" s="90">
        <v>0</v>
      </c>
    </row>
    <row r="98" spans="1:8" x14ac:dyDescent="0.2">
      <c r="A98" s="143" t="s">
        <v>30</v>
      </c>
      <c r="B98" s="3"/>
      <c r="C98" s="42"/>
      <c r="D98" s="164"/>
      <c r="E98" s="90">
        <v>0</v>
      </c>
    </row>
    <row r="99" spans="1:8" x14ac:dyDescent="0.2">
      <c r="A99" s="143" t="s">
        <v>31</v>
      </c>
      <c r="B99" s="3"/>
      <c r="C99" s="42"/>
      <c r="D99" s="164"/>
      <c r="E99" s="90">
        <v>0</v>
      </c>
    </row>
    <row r="100" spans="1:8" x14ac:dyDescent="0.2">
      <c r="A100" s="156" t="s">
        <v>198</v>
      </c>
      <c r="B100" s="157"/>
      <c r="C100" s="148"/>
      <c r="D100" s="165"/>
      <c r="E100" s="250">
        <f>SUM(E76:E99)</f>
        <v>0</v>
      </c>
    </row>
    <row r="101" spans="1:8" x14ac:dyDescent="0.2">
      <c r="A101" s="131" t="s">
        <v>10</v>
      </c>
      <c r="B101" s="105"/>
      <c r="C101" s="130"/>
      <c r="D101" s="109"/>
      <c r="E101" s="109"/>
      <c r="F101" s="92"/>
    </row>
    <row r="102" spans="1:8" x14ac:dyDescent="0.2">
      <c r="A102" s="144"/>
      <c r="B102" s="3"/>
      <c r="C102" s="9"/>
      <c r="D102" s="10"/>
      <c r="E102" s="7" t="s">
        <v>240</v>
      </c>
    </row>
    <row r="103" spans="1:8" x14ac:dyDescent="0.2">
      <c r="A103" s="143" t="s">
        <v>118</v>
      </c>
      <c r="B103" s="3"/>
      <c r="C103" s="42"/>
      <c r="D103" s="43"/>
      <c r="E103" s="90">
        <v>0</v>
      </c>
    </row>
    <row r="104" spans="1:8" x14ac:dyDescent="0.2">
      <c r="A104" s="143"/>
      <c r="B104" s="3"/>
      <c r="C104" s="225" t="s">
        <v>116</v>
      </c>
      <c r="D104" s="226" t="s">
        <v>257</v>
      </c>
      <c r="E104" s="7" t="s">
        <v>240</v>
      </c>
    </row>
    <row r="105" spans="1:8" x14ac:dyDescent="0.2">
      <c r="A105" s="20" t="s">
        <v>115</v>
      </c>
      <c r="B105" s="5"/>
      <c r="C105" s="150">
        <v>0</v>
      </c>
      <c r="D105" s="151">
        <v>5.5</v>
      </c>
      <c r="E105" s="246">
        <f>+C105*D105</f>
        <v>0</v>
      </c>
    </row>
    <row r="106" spans="1:8" x14ac:dyDescent="0.2">
      <c r="A106" s="152" t="s">
        <v>117</v>
      </c>
      <c r="B106" s="153"/>
      <c r="C106" s="154"/>
      <c r="D106" s="155"/>
      <c r="E106" s="250">
        <f>E105+E103</f>
        <v>0</v>
      </c>
    </row>
    <row r="107" spans="1:8" ht="15" x14ac:dyDescent="0.25">
      <c r="A107" s="110" t="s">
        <v>93</v>
      </c>
      <c r="B107" s="103"/>
      <c r="C107" s="104"/>
      <c r="D107" s="105"/>
      <c r="E107" s="105"/>
      <c r="F107" s="92"/>
      <c r="H107" s="129"/>
    </row>
    <row r="108" spans="1:8" ht="13.5" customHeight="1" x14ac:dyDescent="0.2">
      <c r="A108" s="18"/>
      <c r="B108" s="4"/>
      <c r="C108" s="3"/>
      <c r="D108" s="3"/>
      <c r="E108" s="7" t="s">
        <v>240</v>
      </c>
    </row>
    <row r="109" spans="1:8" ht="13.5" customHeight="1" x14ac:dyDescent="0.2">
      <c r="A109" s="33" t="s">
        <v>232</v>
      </c>
      <c r="B109" s="4"/>
      <c r="C109" s="3"/>
      <c r="D109" s="3"/>
      <c r="E109" s="173">
        <v>185</v>
      </c>
    </row>
    <row r="110" spans="1:8" x14ac:dyDescent="0.2">
      <c r="A110" s="33" t="s">
        <v>28</v>
      </c>
      <c r="B110" s="4"/>
      <c r="C110" s="42"/>
      <c r="D110" s="43"/>
      <c r="E110" s="90">
        <v>25</v>
      </c>
    </row>
    <row r="111" spans="1:8" x14ac:dyDescent="0.2">
      <c r="A111" s="33" t="s">
        <v>102</v>
      </c>
      <c r="B111" s="4"/>
      <c r="C111" s="42"/>
      <c r="D111" s="43"/>
      <c r="E111" s="90">
        <v>0</v>
      </c>
    </row>
    <row r="112" spans="1:8" ht="15" x14ac:dyDescent="0.25">
      <c r="A112" s="33" t="s">
        <v>91</v>
      </c>
      <c r="B112" s="40" t="s">
        <v>233</v>
      </c>
      <c r="C112" s="42"/>
      <c r="D112" s="43"/>
      <c r="E112" s="90">
        <v>0</v>
      </c>
      <c r="H112" s="128"/>
    </row>
    <row r="113" spans="1:8" ht="15" x14ac:dyDescent="0.25">
      <c r="A113" s="33" t="s">
        <v>101</v>
      </c>
      <c r="B113" s="40"/>
      <c r="C113" s="42"/>
      <c r="D113" s="43"/>
      <c r="E113" s="193">
        <v>2.5</v>
      </c>
      <c r="H113" s="128"/>
    </row>
    <row r="114" spans="1:8" x14ac:dyDescent="0.2">
      <c r="A114" s="146" t="s">
        <v>120</v>
      </c>
      <c r="B114" s="147"/>
      <c r="C114" s="148"/>
      <c r="D114" s="149"/>
      <c r="E114" s="250">
        <f>SUM(E109:E113)</f>
        <v>212.5</v>
      </c>
    </row>
    <row r="115" spans="1:8" x14ac:dyDescent="0.2">
      <c r="A115" s="92"/>
      <c r="B115" s="103"/>
      <c r="C115" s="135"/>
      <c r="D115" s="136"/>
      <c r="E115" s="133"/>
      <c r="F115" s="92"/>
    </row>
    <row r="116" spans="1:8" x14ac:dyDescent="0.2">
      <c r="A116" s="287" t="s">
        <v>202</v>
      </c>
      <c r="B116" s="288"/>
      <c r="C116" s="289"/>
      <c r="D116" s="290"/>
      <c r="E116" s="250">
        <f>E60+E73+E100+E106+E114</f>
        <v>494.85</v>
      </c>
    </row>
    <row r="117" spans="1:8" x14ac:dyDescent="0.2">
      <c r="A117" s="14"/>
      <c r="B117" s="3"/>
      <c r="C117" s="9"/>
      <c r="D117" s="10"/>
      <c r="E117" s="126"/>
    </row>
    <row r="118" spans="1:8" x14ac:dyDescent="0.2">
      <c r="A118" s="111" t="s">
        <v>100</v>
      </c>
      <c r="B118" s="92"/>
      <c r="C118" s="127"/>
      <c r="D118" s="103"/>
      <c r="E118" s="92"/>
      <c r="F118" s="92"/>
    </row>
    <row r="119" spans="1:8" x14ac:dyDescent="0.2">
      <c r="A119" s="11" t="s">
        <v>121</v>
      </c>
      <c r="C119" s="219" t="s">
        <v>256</v>
      </c>
      <c r="D119" s="228" t="s">
        <v>255</v>
      </c>
      <c r="E119" s="7" t="s">
        <v>240</v>
      </c>
    </row>
    <row r="120" spans="1:8" x14ac:dyDescent="0.2">
      <c r="A120" s="199" t="s">
        <v>82</v>
      </c>
      <c r="B120" s="4"/>
      <c r="C120" s="68">
        <v>1</v>
      </c>
      <c r="D120" s="89">
        <v>20</v>
      </c>
      <c r="E120" s="241">
        <f>C120*D120</f>
        <v>20</v>
      </c>
    </row>
    <row r="121" spans="1:8" x14ac:dyDescent="0.2">
      <c r="A121" s="199" t="s">
        <v>9</v>
      </c>
      <c r="B121" s="4"/>
      <c r="C121" s="68">
        <v>1</v>
      </c>
      <c r="D121" s="90">
        <v>18</v>
      </c>
      <c r="E121" s="241">
        <f t="shared" ref="E121:E128" si="4">C121*D121</f>
        <v>18</v>
      </c>
    </row>
    <row r="122" spans="1:8" x14ac:dyDescent="0.2">
      <c r="A122" s="199" t="s">
        <v>327</v>
      </c>
      <c r="B122" s="4"/>
      <c r="C122" s="68">
        <v>1</v>
      </c>
      <c r="D122" s="90">
        <v>22.5</v>
      </c>
      <c r="E122" s="241">
        <f t="shared" si="4"/>
        <v>22.5</v>
      </c>
    </row>
    <row r="123" spans="1:8" x14ac:dyDescent="0.2">
      <c r="A123" s="199"/>
      <c r="B123" s="4"/>
      <c r="C123" s="68"/>
      <c r="D123" s="90">
        <v>0</v>
      </c>
      <c r="E123" s="241">
        <f t="shared" si="4"/>
        <v>0</v>
      </c>
    </row>
    <row r="124" spans="1:8" x14ac:dyDescent="0.2">
      <c r="A124" s="199"/>
      <c r="B124" s="4"/>
      <c r="C124" s="68"/>
      <c r="D124" s="90">
        <v>0</v>
      </c>
      <c r="E124" s="241">
        <f t="shared" si="4"/>
        <v>0</v>
      </c>
    </row>
    <row r="125" spans="1:8" ht="14.25" customHeight="1" x14ac:dyDescent="0.2">
      <c r="A125" s="213" t="s">
        <v>108</v>
      </c>
      <c r="B125" s="4"/>
      <c r="C125" s="68">
        <v>0</v>
      </c>
      <c r="D125" s="90">
        <v>18</v>
      </c>
      <c r="E125" s="241">
        <f t="shared" si="4"/>
        <v>0</v>
      </c>
    </row>
    <row r="126" spans="1:8" ht="14.25" customHeight="1" x14ac:dyDescent="0.2">
      <c r="A126" s="213"/>
      <c r="B126" s="4"/>
      <c r="C126" s="68"/>
      <c r="D126" s="90">
        <v>0</v>
      </c>
      <c r="E126" s="241">
        <v>0</v>
      </c>
    </row>
    <row r="127" spans="1:8" ht="14.25" customHeight="1" x14ac:dyDescent="0.2">
      <c r="A127" s="213"/>
      <c r="B127" s="4"/>
      <c r="C127" s="68"/>
      <c r="D127" s="90">
        <v>0</v>
      </c>
      <c r="E127" s="241">
        <v>0</v>
      </c>
    </row>
    <row r="128" spans="1:8" ht="12" customHeight="1" x14ac:dyDescent="0.2">
      <c r="A128" s="213"/>
      <c r="B128" s="3"/>
      <c r="C128" s="68"/>
      <c r="D128" s="90">
        <v>0</v>
      </c>
      <c r="E128" s="241">
        <f t="shared" si="4"/>
        <v>0</v>
      </c>
    </row>
    <row r="129" spans="1:19" ht="12.75" customHeight="1" x14ac:dyDescent="0.2">
      <c r="A129" s="199"/>
      <c r="B129" s="292"/>
      <c r="C129" s="68"/>
      <c r="D129" s="90">
        <v>0</v>
      </c>
      <c r="E129" s="245">
        <f>C129*D129</f>
        <v>0</v>
      </c>
    </row>
    <row r="130" spans="1:19" ht="12" customHeight="1" x14ac:dyDescent="0.2">
      <c r="A130" s="287" t="s">
        <v>183</v>
      </c>
      <c r="B130" s="288"/>
      <c r="C130" s="289"/>
      <c r="D130" s="291"/>
      <c r="E130" s="250">
        <f>SUM(E120:E129)</f>
        <v>60.5</v>
      </c>
      <c r="H130" s="322"/>
    </row>
    <row r="131" spans="1:19" ht="12" customHeight="1" x14ac:dyDescent="0.2">
      <c r="A131" s="8"/>
      <c r="B131" s="3"/>
      <c r="C131" s="9"/>
      <c r="D131" s="3"/>
      <c r="E131" s="126"/>
      <c r="H131" s="323"/>
      <c r="I131" s="322" t="s">
        <v>336</v>
      </c>
    </row>
    <row r="132" spans="1:19" ht="12.75" customHeight="1" x14ac:dyDescent="0.2">
      <c r="A132" s="14" t="s">
        <v>220</v>
      </c>
      <c r="B132" s="3"/>
      <c r="C132" s="7" t="s">
        <v>312</v>
      </c>
      <c r="D132" s="7" t="s">
        <v>255</v>
      </c>
      <c r="E132" s="7" t="s">
        <v>240</v>
      </c>
      <c r="I132" s="323" t="s">
        <v>355</v>
      </c>
    </row>
    <row r="133" spans="1:19" ht="12.75" customHeight="1" x14ac:dyDescent="0.2">
      <c r="A133" s="196" t="s">
        <v>346</v>
      </c>
      <c r="B133" s="3"/>
      <c r="C133" s="68">
        <v>3</v>
      </c>
      <c r="D133" s="91">
        <v>18</v>
      </c>
      <c r="E133" s="245">
        <f>C133*D133</f>
        <v>54</v>
      </c>
      <c r="H133" s="322"/>
    </row>
    <row r="134" spans="1:19" ht="12.75" customHeight="1" x14ac:dyDescent="0.2">
      <c r="A134" s="199" t="s">
        <v>347</v>
      </c>
      <c r="B134" s="40"/>
      <c r="C134" s="68">
        <v>3</v>
      </c>
      <c r="D134" s="91">
        <v>18</v>
      </c>
      <c r="E134" s="245">
        <f t="shared" ref="E134:E140" si="5">C134*D134</f>
        <v>54</v>
      </c>
      <c r="H134" s="323"/>
      <c r="I134" s="322" t="s">
        <v>334</v>
      </c>
      <c r="S134" s="4"/>
    </row>
    <row r="135" spans="1:19" ht="12.75" customHeight="1" x14ac:dyDescent="0.2">
      <c r="A135" s="199" t="s">
        <v>348</v>
      </c>
      <c r="B135" s="4"/>
      <c r="C135" s="68">
        <v>3</v>
      </c>
      <c r="D135" s="91">
        <v>70</v>
      </c>
      <c r="E135" s="245">
        <f t="shared" si="5"/>
        <v>210</v>
      </c>
      <c r="I135" s="323" t="s">
        <v>335</v>
      </c>
      <c r="S135" s="4"/>
    </row>
    <row r="136" spans="1:19" ht="12.75" customHeight="1" x14ac:dyDescent="0.2">
      <c r="A136" s="199"/>
      <c r="B136" s="40"/>
      <c r="C136" s="68"/>
      <c r="D136" s="91">
        <v>0</v>
      </c>
      <c r="E136" s="245">
        <f t="shared" si="5"/>
        <v>0</v>
      </c>
      <c r="H136" s="322"/>
      <c r="I136" s="36" t="s">
        <v>357</v>
      </c>
      <c r="S136" s="4"/>
    </row>
    <row r="137" spans="1:19" ht="12.75" customHeight="1" x14ac:dyDescent="0.2">
      <c r="A137" s="199"/>
      <c r="B137" s="40"/>
      <c r="C137" s="68"/>
      <c r="D137" s="91">
        <v>0</v>
      </c>
      <c r="E137" s="245">
        <f t="shared" si="5"/>
        <v>0</v>
      </c>
      <c r="H137" s="323"/>
      <c r="S137" s="4"/>
    </row>
    <row r="138" spans="1:19" ht="12.75" customHeight="1" x14ac:dyDescent="0.2">
      <c r="A138" s="199"/>
      <c r="B138" s="40"/>
      <c r="C138" s="68"/>
      <c r="D138" s="91">
        <v>0</v>
      </c>
      <c r="E138" s="245">
        <f t="shared" si="5"/>
        <v>0</v>
      </c>
      <c r="I138" t="s">
        <v>358</v>
      </c>
      <c r="S138" s="4"/>
    </row>
    <row r="139" spans="1:19" ht="12.75" customHeight="1" x14ac:dyDescent="0.2">
      <c r="A139" s="199"/>
      <c r="B139" s="40"/>
      <c r="C139" s="68"/>
      <c r="D139" s="91">
        <v>0</v>
      </c>
      <c r="E139" s="245">
        <f t="shared" si="5"/>
        <v>0</v>
      </c>
      <c r="H139" s="322"/>
      <c r="I139" s="323" t="s">
        <v>359</v>
      </c>
      <c r="S139" s="4"/>
    </row>
    <row r="140" spans="1:19" ht="12.75" customHeight="1" x14ac:dyDescent="0.2">
      <c r="A140" s="199"/>
      <c r="B140" s="295"/>
      <c r="C140" s="68"/>
      <c r="D140" s="90">
        <v>0</v>
      </c>
      <c r="E140" s="245">
        <f t="shared" si="5"/>
        <v>0</v>
      </c>
      <c r="H140" s="323"/>
      <c r="S140" s="4"/>
    </row>
    <row r="141" spans="1:19" ht="12.75" customHeight="1" x14ac:dyDescent="0.2">
      <c r="A141" s="168" t="s">
        <v>221</v>
      </c>
      <c r="B141" s="132"/>
      <c r="C141" s="293"/>
      <c r="D141" s="297"/>
      <c r="E141" s="298">
        <f>SUM(E133:E140)</f>
        <v>318</v>
      </c>
      <c r="I141" s="322" t="s">
        <v>337</v>
      </c>
      <c r="S141" s="4"/>
    </row>
    <row r="142" spans="1:19" ht="12.75" customHeight="1" x14ac:dyDescent="0.2">
      <c r="A142" s="40"/>
      <c r="B142" s="40"/>
      <c r="C142" s="42"/>
      <c r="D142" s="164"/>
      <c r="E142" s="93"/>
      <c r="I142" s="323" t="s">
        <v>338</v>
      </c>
      <c r="S142" s="4"/>
    </row>
    <row r="143" spans="1:19" ht="12.75" customHeight="1" x14ac:dyDescent="0.2">
      <c r="A143" s="198" t="s">
        <v>271</v>
      </c>
      <c r="B143" s="7" t="s">
        <v>311</v>
      </c>
      <c r="C143" s="225" t="s">
        <v>268</v>
      </c>
      <c r="D143" s="226" t="s">
        <v>267</v>
      </c>
      <c r="E143" s="7" t="s">
        <v>240</v>
      </c>
      <c r="S143" s="4"/>
    </row>
    <row r="144" spans="1:19" ht="12.75" customHeight="1" x14ac:dyDescent="0.2">
      <c r="A144" s="199"/>
      <c r="B144" s="207"/>
      <c r="C144" s="68"/>
      <c r="D144" s="90">
        <v>0</v>
      </c>
      <c r="E144" s="245">
        <f t="shared" ref="E144:E145" si="6">IFERROR((D144/C144)*B144,0)</f>
        <v>0</v>
      </c>
      <c r="I144" s="322" t="s">
        <v>339</v>
      </c>
      <c r="S144" s="4"/>
    </row>
    <row r="145" spans="1:19" ht="12.75" customHeight="1" x14ac:dyDescent="0.2">
      <c r="A145" s="199"/>
      <c r="B145" s="207"/>
      <c r="C145" s="68"/>
      <c r="D145" s="91">
        <v>0</v>
      </c>
      <c r="E145" s="245">
        <f t="shared" si="6"/>
        <v>0</v>
      </c>
      <c r="I145" s="323" t="s">
        <v>356</v>
      </c>
      <c r="S145" s="4"/>
    </row>
    <row r="146" spans="1:19" ht="12.75" customHeight="1" x14ac:dyDescent="0.2">
      <c r="A146" s="199"/>
      <c r="B146" s="207"/>
      <c r="C146" s="68"/>
      <c r="D146" s="91">
        <v>0</v>
      </c>
      <c r="E146" s="245">
        <f>IFERROR((D146/C146)*B146,0)</f>
        <v>0</v>
      </c>
      <c r="S146" s="4"/>
    </row>
    <row r="147" spans="1:19" ht="12.75" customHeight="1" x14ac:dyDescent="0.2">
      <c r="A147" s="199"/>
      <c r="B147" s="207"/>
      <c r="C147" s="68"/>
      <c r="D147" s="91">
        <v>0</v>
      </c>
      <c r="E147" s="245">
        <f t="shared" ref="E147:E151" si="7">IFERROR((D147/C147)*B147,0)</f>
        <v>0</v>
      </c>
      <c r="S147" s="4"/>
    </row>
    <row r="148" spans="1:19" ht="12.75" customHeight="1" x14ac:dyDescent="0.2">
      <c r="A148" s="199"/>
      <c r="B148" s="207"/>
      <c r="C148" s="68"/>
      <c r="D148" s="91">
        <v>0</v>
      </c>
      <c r="E148" s="245">
        <f t="shared" si="7"/>
        <v>0</v>
      </c>
      <c r="S148" s="4"/>
    </row>
    <row r="149" spans="1:19" ht="12.75" customHeight="1" x14ac:dyDescent="0.2">
      <c r="A149" s="199"/>
      <c r="B149" s="207"/>
      <c r="C149" s="68"/>
      <c r="D149" s="91">
        <v>0</v>
      </c>
      <c r="E149" s="245">
        <f t="shared" si="7"/>
        <v>0</v>
      </c>
      <c r="S149" s="4"/>
    </row>
    <row r="150" spans="1:19" ht="12.75" customHeight="1" x14ac:dyDescent="0.2">
      <c r="A150" s="230"/>
      <c r="B150" s="207"/>
      <c r="C150" s="77"/>
      <c r="D150" s="174">
        <v>0</v>
      </c>
      <c r="E150" s="245">
        <f t="shared" si="7"/>
        <v>0</v>
      </c>
      <c r="S150" s="4"/>
    </row>
    <row r="151" spans="1:19" ht="12.75" customHeight="1" x14ac:dyDescent="0.2">
      <c r="A151" s="199"/>
      <c r="B151" s="207"/>
      <c r="C151" s="68"/>
      <c r="D151" s="90">
        <v>0</v>
      </c>
      <c r="E151" s="245">
        <f t="shared" si="7"/>
        <v>0</v>
      </c>
      <c r="S151" s="4"/>
    </row>
    <row r="152" spans="1:19" ht="12.75" customHeight="1" x14ac:dyDescent="0.2">
      <c r="A152" s="302" t="s">
        <v>222</v>
      </c>
      <c r="B152" s="303"/>
      <c r="C152" s="304"/>
      <c r="D152" s="305"/>
      <c r="E152" s="250">
        <f>SUM(E144:E151)</f>
        <v>0</v>
      </c>
      <c r="S152" s="4"/>
    </row>
    <row r="153" spans="1:19" ht="12.75" customHeight="1" x14ac:dyDescent="0.2">
      <c r="A153" s="40"/>
      <c r="B153" s="40"/>
      <c r="C153" s="42"/>
      <c r="D153" s="164"/>
      <c r="E153" s="93"/>
      <c r="S153" s="4"/>
    </row>
    <row r="154" spans="1:19" ht="12.75" customHeight="1" x14ac:dyDescent="0.2">
      <c r="A154" s="260" t="s">
        <v>309</v>
      </c>
      <c r="B154" s="40"/>
      <c r="C154" s="225" t="s">
        <v>310</v>
      </c>
      <c r="D154" s="234" t="s">
        <v>301</v>
      </c>
      <c r="E154" s="93"/>
      <c r="S154" s="4"/>
    </row>
    <row r="155" spans="1:19" ht="12.75" customHeight="1" x14ac:dyDescent="0.2">
      <c r="A155" s="199"/>
      <c r="B155" s="40"/>
      <c r="C155" s="68"/>
      <c r="D155" s="90">
        <v>0</v>
      </c>
      <c r="E155" s="245">
        <f>C155*D155</f>
        <v>0</v>
      </c>
      <c r="S155" s="4"/>
    </row>
    <row r="156" spans="1:19" ht="12.75" customHeight="1" x14ac:dyDescent="0.2">
      <c r="A156" s="199"/>
      <c r="B156" s="40"/>
      <c r="C156" s="68"/>
      <c r="D156" s="91">
        <v>0</v>
      </c>
      <c r="E156" s="245">
        <f t="shared" ref="E156:E161" si="8">C156*D156</f>
        <v>0</v>
      </c>
      <c r="S156" s="4"/>
    </row>
    <row r="157" spans="1:19" ht="12.75" customHeight="1" x14ac:dyDescent="0.2">
      <c r="A157" s="199"/>
      <c r="B157" s="40"/>
      <c r="C157" s="68"/>
      <c r="D157" s="91">
        <v>0</v>
      </c>
      <c r="E157" s="245">
        <f t="shared" si="8"/>
        <v>0</v>
      </c>
      <c r="S157" s="4"/>
    </row>
    <row r="158" spans="1:19" ht="12.75" customHeight="1" x14ac:dyDescent="0.2">
      <c r="A158" s="199"/>
      <c r="B158" s="40"/>
      <c r="C158" s="68"/>
      <c r="D158" s="91">
        <v>0</v>
      </c>
      <c r="E158" s="245">
        <f t="shared" si="8"/>
        <v>0</v>
      </c>
      <c r="S158" s="4"/>
    </row>
    <row r="159" spans="1:19" ht="12.75" customHeight="1" x14ac:dyDescent="0.2">
      <c r="A159" s="199"/>
      <c r="B159" s="40"/>
      <c r="C159" s="68"/>
      <c r="D159" s="91">
        <v>0</v>
      </c>
      <c r="E159" s="245">
        <f t="shared" si="8"/>
        <v>0</v>
      </c>
      <c r="S159" s="4"/>
    </row>
    <row r="160" spans="1:19" ht="12.75" customHeight="1" x14ac:dyDescent="0.2">
      <c r="A160" s="199"/>
      <c r="B160" s="40"/>
      <c r="C160" s="68"/>
      <c r="D160" s="91">
        <v>0</v>
      </c>
      <c r="E160" s="245">
        <f t="shared" si="8"/>
        <v>0</v>
      </c>
      <c r="S160" s="4"/>
    </row>
    <row r="161" spans="1:19" ht="12.75" customHeight="1" x14ac:dyDescent="0.2">
      <c r="A161" s="199"/>
      <c r="B161" s="295"/>
      <c r="C161" s="68"/>
      <c r="D161" s="90">
        <v>0</v>
      </c>
      <c r="E161" s="245">
        <f t="shared" si="8"/>
        <v>0</v>
      </c>
      <c r="S161" s="4"/>
    </row>
    <row r="162" spans="1:19" ht="12.75" customHeight="1" x14ac:dyDescent="0.2">
      <c r="A162" s="301" t="s">
        <v>223</v>
      </c>
      <c r="B162" s="132"/>
      <c r="C162" s="293"/>
      <c r="D162" s="297"/>
      <c r="E162" s="250">
        <f>SUM(E155:E161)</f>
        <v>0</v>
      </c>
      <c r="S162" s="4"/>
    </row>
    <row r="163" spans="1:19" ht="12.75" customHeight="1" x14ac:dyDescent="0.2">
      <c r="A163" s="40"/>
      <c r="B163" s="40"/>
      <c r="C163" s="42"/>
      <c r="D163" s="164"/>
      <c r="E163" s="93"/>
      <c r="S163" s="4"/>
    </row>
    <row r="164" spans="1:19" ht="12.75" customHeight="1" x14ac:dyDescent="0.2">
      <c r="A164" s="260" t="s">
        <v>273</v>
      </c>
      <c r="B164" s="40"/>
      <c r="C164" s="225" t="s">
        <v>308</v>
      </c>
      <c r="D164" s="226" t="s">
        <v>239</v>
      </c>
      <c r="E164" s="93"/>
      <c r="S164" s="4"/>
    </row>
    <row r="165" spans="1:19" ht="12.75" customHeight="1" x14ac:dyDescent="0.2">
      <c r="A165" s="199"/>
      <c r="B165" s="40"/>
      <c r="C165" s="68"/>
      <c r="D165" s="90">
        <v>0</v>
      </c>
      <c r="E165" s="245">
        <f>C165*D165</f>
        <v>0</v>
      </c>
      <c r="S165" s="4"/>
    </row>
    <row r="166" spans="1:19" ht="12.75" customHeight="1" x14ac:dyDescent="0.2">
      <c r="A166" s="199"/>
      <c r="B166" s="40"/>
      <c r="C166" s="68"/>
      <c r="D166" s="90">
        <v>0</v>
      </c>
      <c r="E166" s="245">
        <f t="shared" ref="E166:E171" si="9">C166*D166</f>
        <v>0</v>
      </c>
      <c r="S166" s="4"/>
    </row>
    <row r="167" spans="1:19" ht="12.75" customHeight="1" x14ac:dyDescent="0.2">
      <c r="A167" s="199"/>
      <c r="B167" s="40"/>
      <c r="C167" s="68"/>
      <c r="D167" s="90">
        <v>0</v>
      </c>
      <c r="E167" s="245">
        <f t="shared" si="9"/>
        <v>0</v>
      </c>
      <c r="S167" s="4"/>
    </row>
    <row r="168" spans="1:19" ht="12.75" customHeight="1" x14ac:dyDescent="0.2">
      <c r="A168" s="199"/>
      <c r="B168" s="40"/>
      <c r="C168" s="68"/>
      <c r="D168" s="90">
        <v>0</v>
      </c>
      <c r="E168" s="245">
        <f t="shared" si="9"/>
        <v>0</v>
      </c>
      <c r="S168" s="4"/>
    </row>
    <row r="169" spans="1:19" ht="12.75" customHeight="1" x14ac:dyDescent="0.2">
      <c r="A169" s="199"/>
      <c r="B169" s="40"/>
      <c r="C169" s="68"/>
      <c r="D169" s="90">
        <v>0</v>
      </c>
      <c r="E169" s="245">
        <f t="shared" si="9"/>
        <v>0</v>
      </c>
      <c r="S169" s="4"/>
    </row>
    <row r="170" spans="1:19" ht="12.75" customHeight="1" x14ac:dyDescent="0.2">
      <c r="A170" s="230"/>
      <c r="B170" s="40"/>
      <c r="C170" s="68"/>
      <c r="D170" s="193">
        <v>0</v>
      </c>
      <c r="E170" s="246">
        <f t="shared" si="9"/>
        <v>0</v>
      </c>
      <c r="S170" s="4"/>
    </row>
    <row r="171" spans="1:19" ht="12.75" customHeight="1" x14ac:dyDescent="0.2">
      <c r="A171" s="199"/>
      <c r="B171" s="295"/>
      <c r="C171" s="68"/>
      <c r="D171" s="90">
        <v>0</v>
      </c>
      <c r="E171" s="245">
        <f t="shared" si="9"/>
        <v>0</v>
      </c>
      <c r="S171" s="4"/>
    </row>
    <row r="172" spans="1:19" ht="12.75" customHeight="1" x14ac:dyDescent="0.2">
      <c r="A172" s="302" t="s">
        <v>224</v>
      </c>
      <c r="B172" s="303"/>
      <c r="C172" s="304"/>
      <c r="D172" s="305"/>
      <c r="E172" s="250">
        <f>SUM(E165:E171)</f>
        <v>0</v>
      </c>
      <c r="S172" s="4"/>
    </row>
    <row r="173" spans="1:19" ht="12.75" customHeight="1" x14ac:dyDescent="0.2">
      <c r="A173" s="40"/>
      <c r="B173" s="40"/>
      <c r="C173" s="42"/>
      <c r="D173" s="164"/>
      <c r="E173" s="93"/>
      <c r="S173" s="4"/>
    </row>
    <row r="174" spans="1:19" ht="12.75" customHeight="1" x14ac:dyDescent="0.2">
      <c r="A174" s="198" t="s">
        <v>34</v>
      </c>
      <c r="B174" s="7" t="s">
        <v>275</v>
      </c>
      <c r="C174" s="225" t="s">
        <v>124</v>
      </c>
      <c r="D174" s="235" t="s">
        <v>253</v>
      </c>
      <c r="E174" s="7" t="s">
        <v>240</v>
      </c>
      <c r="S174" s="4"/>
    </row>
    <row r="175" spans="1:19" ht="12.75" customHeight="1" x14ac:dyDescent="0.2">
      <c r="A175" s="199" t="s">
        <v>134</v>
      </c>
      <c r="B175" s="207">
        <v>15</v>
      </c>
      <c r="C175" s="68">
        <v>0</v>
      </c>
      <c r="D175" s="71">
        <v>4</v>
      </c>
      <c r="E175" s="245">
        <f>((C175*D175)*((C14+C15)/B175))</f>
        <v>0</v>
      </c>
      <c r="S175" s="4"/>
    </row>
    <row r="176" spans="1:19" ht="12.75" customHeight="1" x14ac:dyDescent="0.2">
      <c r="A176" s="230"/>
      <c r="B176" s="207">
        <v>10</v>
      </c>
      <c r="C176" s="77"/>
      <c r="D176" s="174"/>
      <c r="E176" s="246">
        <f>((C176*D176)*(C16/B176))</f>
        <v>0</v>
      </c>
      <c r="S176" s="4"/>
    </row>
    <row r="177" spans="1:19" ht="12.75" customHeight="1" x14ac:dyDescent="0.2">
      <c r="A177" s="146" t="s">
        <v>123</v>
      </c>
      <c r="B177" s="147"/>
      <c r="C177" s="148"/>
      <c r="D177" s="149"/>
      <c r="E177" s="250">
        <f>E141+E152+E162+E172+E175+E176</f>
        <v>318</v>
      </c>
      <c r="S177" s="4"/>
    </row>
    <row r="178" spans="1:19" ht="12.75" customHeight="1" x14ac:dyDescent="0.2">
      <c r="A178" s="110" t="s">
        <v>32</v>
      </c>
      <c r="B178" s="106"/>
      <c r="C178" s="107"/>
      <c r="D178" s="108"/>
      <c r="E178" s="109"/>
      <c r="F178" s="92"/>
      <c r="S178" s="4"/>
    </row>
    <row r="179" spans="1:19" ht="12.75" customHeight="1" x14ac:dyDescent="0.2">
      <c r="A179" s="40"/>
      <c r="B179" s="236" t="s">
        <v>179</v>
      </c>
      <c r="C179" s="236" t="s">
        <v>276</v>
      </c>
      <c r="D179" s="237" t="s">
        <v>277</v>
      </c>
      <c r="E179" s="7" t="s">
        <v>240</v>
      </c>
      <c r="S179" s="4"/>
    </row>
    <row r="180" spans="1:19" ht="12.75" customHeight="1" x14ac:dyDescent="0.2">
      <c r="A180" s="199" t="s">
        <v>212</v>
      </c>
      <c r="B180" s="218">
        <v>1</v>
      </c>
      <c r="C180" s="172">
        <v>260</v>
      </c>
      <c r="D180" s="173">
        <v>1000</v>
      </c>
      <c r="E180" s="274">
        <f>IFERROR(((D180/C180)*($C$14+$C$15))*B180,0)</f>
        <v>23.076923076923077</v>
      </c>
      <c r="S180" s="4"/>
    </row>
    <row r="181" spans="1:19" ht="12.75" customHeight="1" x14ac:dyDescent="0.25">
      <c r="A181" s="199" t="s">
        <v>211</v>
      </c>
      <c r="B181" s="218">
        <v>0</v>
      </c>
      <c r="C181" s="68">
        <v>400</v>
      </c>
      <c r="D181" s="90">
        <v>0</v>
      </c>
      <c r="E181" s="245">
        <f t="shared" ref="E181:E182" si="10">IFERROR(((D181/C181)*($C$14+$C$15))*B181,0)</f>
        <v>0</v>
      </c>
      <c r="H181" s="188" t="s">
        <v>144</v>
      </c>
      <c r="I181" s="177"/>
      <c r="J181" s="177"/>
      <c r="K181" s="177"/>
      <c r="L181" s="178"/>
      <c r="M181" s="179"/>
      <c r="S181" s="4"/>
    </row>
    <row r="182" spans="1:19" ht="12.75" customHeight="1" x14ac:dyDescent="0.25">
      <c r="A182" s="199" t="s">
        <v>181</v>
      </c>
      <c r="B182" s="218"/>
      <c r="C182" s="68"/>
      <c r="D182" s="90"/>
      <c r="E182" s="245">
        <f t="shared" si="10"/>
        <v>0</v>
      </c>
      <c r="H182" s="180" t="s">
        <v>145</v>
      </c>
      <c r="I182" s="181"/>
      <c r="J182" s="181"/>
      <c r="K182" s="182" t="s">
        <v>154</v>
      </c>
      <c r="L182" s="178"/>
      <c r="M182" s="179"/>
      <c r="S182" s="4"/>
    </row>
    <row r="183" spans="1:19" ht="12.75" customHeight="1" x14ac:dyDescent="0.25">
      <c r="A183" s="192"/>
      <c r="B183" s="40" t="s">
        <v>180</v>
      </c>
      <c r="C183" s="134" t="s">
        <v>279</v>
      </c>
      <c r="D183" s="300" t="s">
        <v>278</v>
      </c>
      <c r="E183" s="102"/>
      <c r="H183" s="183" t="s">
        <v>146</v>
      </c>
      <c r="I183" s="181"/>
      <c r="J183" s="181"/>
      <c r="K183" s="181" t="s">
        <v>147</v>
      </c>
      <c r="L183" s="181"/>
      <c r="M183" s="184"/>
      <c r="S183" s="4"/>
    </row>
    <row r="184" spans="1:19" ht="12.75" customHeight="1" x14ac:dyDescent="0.25">
      <c r="A184" s="199" t="s">
        <v>178</v>
      </c>
      <c r="B184" s="207"/>
      <c r="C184" s="68"/>
      <c r="D184" s="90"/>
      <c r="E184" s="245">
        <f>IFERROR(((D184/C184)*($C$14+$C$15))*B184,0)</f>
        <v>0</v>
      </c>
      <c r="H184" s="183" t="s">
        <v>148</v>
      </c>
      <c r="I184" s="181"/>
      <c r="J184" s="181"/>
      <c r="K184" s="181" t="s">
        <v>149</v>
      </c>
      <c r="L184" s="181"/>
      <c r="M184" s="184"/>
      <c r="S184" s="4"/>
    </row>
    <row r="185" spans="1:19" ht="12.75" customHeight="1" x14ac:dyDescent="0.25">
      <c r="A185" s="40"/>
      <c r="B185" s="40"/>
      <c r="C185" s="44"/>
      <c r="D185" s="226" t="s">
        <v>155</v>
      </c>
      <c r="E185" s="7" t="s">
        <v>240</v>
      </c>
      <c r="H185" s="183" t="s">
        <v>150</v>
      </c>
      <c r="I185" s="181"/>
      <c r="J185" s="181"/>
      <c r="K185" s="181" t="s">
        <v>151</v>
      </c>
      <c r="L185" s="181"/>
      <c r="M185" s="184"/>
      <c r="S185" s="4"/>
    </row>
    <row r="186" spans="1:19" ht="12.75" customHeight="1" x14ac:dyDescent="0.25">
      <c r="A186" s="40" t="s">
        <v>213</v>
      </c>
      <c r="B186" s="189"/>
      <c r="C186" s="42"/>
      <c r="D186" s="191">
        <v>0.1</v>
      </c>
      <c r="E186" s="251">
        <f>(E18)*D186</f>
        <v>42</v>
      </c>
      <c r="H186" s="185" t="s">
        <v>152</v>
      </c>
      <c r="I186" s="186"/>
      <c r="J186" s="186"/>
      <c r="K186" s="186" t="s">
        <v>153</v>
      </c>
      <c r="L186" s="186"/>
      <c r="M186" s="187"/>
      <c r="S186" s="4"/>
    </row>
    <row r="187" spans="1:19" ht="12.75" customHeight="1" x14ac:dyDescent="0.2">
      <c r="A187" s="138" t="s">
        <v>104</v>
      </c>
      <c r="B187" s="106"/>
      <c r="C187" s="139"/>
      <c r="D187" s="140"/>
      <c r="E187" s="141"/>
      <c r="F187" s="92"/>
      <c r="H187" s="190" t="s">
        <v>156</v>
      </c>
      <c r="S187" s="4"/>
    </row>
    <row r="188" spans="1:19" ht="12.75" customHeight="1" x14ac:dyDescent="0.2">
      <c r="A188" s="40"/>
      <c r="B188" s="40"/>
      <c r="C188" s="225" t="s">
        <v>125</v>
      </c>
      <c r="D188" s="226" t="s">
        <v>105</v>
      </c>
      <c r="E188" s="54" t="s">
        <v>240</v>
      </c>
      <c r="G188" s="20"/>
      <c r="S188" s="4"/>
    </row>
    <row r="189" spans="1:19" ht="12.75" customHeight="1" x14ac:dyDescent="0.2">
      <c r="A189" s="266" t="s">
        <v>45</v>
      </c>
      <c r="B189" s="267"/>
      <c r="C189" s="167">
        <v>1.5</v>
      </c>
      <c r="D189" s="90">
        <v>25</v>
      </c>
      <c r="E189" s="245">
        <f>C189*D189</f>
        <v>37.5</v>
      </c>
      <c r="S189" s="4"/>
    </row>
    <row r="190" spans="1:19" ht="12.75" customHeight="1" x14ac:dyDescent="0.2">
      <c r="A190" s="40"/>
      <c r="B190" s="40"/>
      <c r="C190" s="42"/>
      <c r="D190" s="43"/>
      <c r="E190" s="10"/>
      <c r="S190" s="4"/>
    </row>
    <row r="191" spans="1:19" ht="12.75" customHeight="1" x14ac:dyDescent="0.2">
      <c r="A191" s="106"/>
      <c r="B191" s="112"/>
      <c r="C191" s="107"/>
      <c r="D191" s="108"/>
      <c r="E191" s="142"/>
      <c r="F191" s="92"/>
    </row>
    <row r="192" spans="1:19" ht="12.75" customHeight="1" x14ac:dyDescent="0.2">
      <c r="A192" s="33" t="s">
        <v>113</v>
      </c>
      <c r="C192" s="231">
        <v>7.4999999999999997E-2</v>
      </c>
      <c r="E192" s="241">
        <f>(C192*0.67)*(E116+(0.2*E130))</f>
        <v>25.474237500000005</v>
      </c>
      <c r="G192" s="86" t="s">
        <v>59</v>
      </c>
      <c r="H192" s="87"/>
      <c r="I192" s="87"/>
      <c r="J192" s="87"/>
      <c r="K192" s="87"/>
      <c r="L192" s="88"/>
    </row>
    <row r="193" spans="1:13" ht="12.75" customHeight="1" x14ac:dyDescent="0.2">
      <c r="A193" s="15"/>
      <c r="E193" s="6"/>
      <c r="G193" s="4"/>
      <c r="H193" s="4"/>
      <c r="I193" s="45"/>
      <c r="J193" s="45"/>
      <c r="K193" s="4"/>
      <c r="L193" s="45"/>
      <c r="M193" s="45"/>
    </row>
    <row r="194" spans="1:13" ht="12.75" customHeight="1" x14ac:dyDescent="0.2">
      <c r="A194" s="33" t="s">
        <v>85</v>
      </c>
      <c r="B194" s="4"/>
      <c r="C194" s="44"/>
      <c r="D194" s="43"/>
      <c r="E194" s="243">
        <f>E18*0.05</f>
        <v>21</v>
      </c>
    </row>
    <row r="195" spans="1:13" ht="12.75" customHeight="1" x14ac:dyDescent="0.2">
      <c r="A195" s="20" t="s">
        <v>231</v>
      </c>
      <c r="C195" s="16"/>
      <c r="E195" s="243">
        <f>E116+E130+E177+E180+E181+E182+E184+E189+E192</f>
        <v>959.40116057692308</v>
      </c>
    </row>
    <row r="196" spans="1:13" ht="12.75" customHeight="1" x14ac:dyDescent="0.2">
      <c r="A196" s="20" t="s">
        <v>230</v>
      </c>
      <c r="D196" s="16"/>
      <c r="E196" s="243">
        <f>E18-E195</f>
        <v>-539.40116057692308</v>
      </c>
    </row>
    <row r="197" spans="1:13" ht="14.25" x14ac:dyDescent="0.2">
      <c r="A197" s="21"/>
      <c r="C197" s="54"/>
      <c r="D197" s="54"/>
      <c r="E197" s="55"/>
    </row>
    <row r="198" spans="1:13" x14ac:dyDescent="0.2">
      <c r="A198" s="33" t="s">
        <v>218</v>
      </c>
      <c r="B198" s="4"/>
      <c r="C198" s="42"/>
      <c r="D198" s="53"/>
      <c r="E198" s="252">
        <f>E195/(C14+C15)</f>
        <v>159.90019342948719</v>
      </c>
    </row>
    <row r="199" spans="1:13" x14ac:dyDescent="0.2">
      <c r="A199" s="20" t="s">
        <v>219</v>
      </c>
      <c r="B199" s="4"/>
      <c r="E199" s="243">
        <f>E195/(C16+C17)</f>
        <v>355.33376317663817</v>
      </c>
    </row>
    <row r="200" spans="1:13" x14ac:dyDescent="0.2">
      <c r="B200" s="4"/>
    </row>
    <row r="201" spans="1:13" x14ac:dyDescent="0.2">
      <c r="C201" s="355" t="s">
        <v>26</v>
      </c>
      <c r="D201" s="356"/>
      <c r="E201" s="356"/>
      <c r="F201" s="356"/>
      <c r="G201" s="357"/>
    </row>
    <row r="202" spans="1:13" x14ac:dyDescent="0.2">
      <c r="C202" s="74"/>
      <c r="D202" s="75"/>
      <c r="E202" s="75"/>
      <c r="F202" s="75"/>
      <c r="G202" s="76"/>
    </row>
    <row r="203" spans="1:13" x14ac:dyDescent="0.2">
      <c r="C203" s="355" t="s">
        <v>398</v>
      </c>
      <c r="D203" s="356"/>
      <c r="E203" s="356"/>
      <c r="F203" s="356"/>
      <c r="G203" s="357"/>
    </row>
    <row r="204" spans="1:13" x14ac:dyDescent="0.2">
      <c r="A204" s="358" t="s">
        <v>24</v>
      </c>
      <c r="B204" s="359"/>
      <c r="C204" s="23"/>
      <c r="D204" s="23"/>
      <c r="E204" s="23"/>
      <c r="F204" s="23"/>
      <c r="G204" s="23"/>
    </row>
    <row r="205" spans="1:13" x14ac:dyDescent="0.2">
      <c r="A205" s="258" t="s">
        <v>27</v>
      </c>
      <c r="B205" s="259" t="s">
        <v>302</v>
      </c>
      <c r="C205" s="355" t="s">
        <v>26</v>
      </c>
      <c r="D205" s="356"/>
      <c r="E205" s="356"/>
      <c r="F205" s="356"/>
      <c r="G205" s="357"/>
    </row>
    <row r="206" spans="1:13" x14ac:dyDescent="0.2">
      <c r="A206" s="24" t="s">
        <v>21</v>
      </c>
      <c r="B206" s="346">
        <f>C14*1.2</f>
        <v>3.5999999999999996</v>
      </c>
      <c r="C206" s="347">
        <f t="shared" ref="C206:G210" si="11">((C$211*$B206)+$E$15)-$E$195</f>
        <v>-550.80116057692317</v>
      </c>
      <c r="D206" s="347">
        <f t="shared" si="11"/>
        <v>-516.60116057692312</v>
      </c>
      <c r="E206" s="347">
        <f t="shared" si="11"/>
        <v>-482.40116057692313</v>
      </c>
      <c r="F206" s="347">
        <f t="shared" si="11"/>
        <v>-448.20116057692309</v>
      </c>
      <c r="G206" s="347">
        <f t="shared" si="11"/>
        <v>-414.0011605769231</v>
      </c>
    </row>
    <row r="207" spans="1:13" x14ac:dyDescent="0.2">
      <c r="A207" s="24" t="s">
        <v>20</v>
      </c>
      <c r="B207" s="346">
        <f>C14*1.1</f>
        <v>3.3000000000000003</v>
      </c>
      <c r="C207" s="347">
        <f t="shared" si="11"/>
        <v>-573.60116057692312</v>
      </c>
      <c r="D207" s="347">
        <f t="shared" si="11"/>
        <v>-542.25116057692298</v>
      </c>
      <c r="E207" s="347">
        <f t="shared" si="11"/>
        <v>-510.90116057692308</v>
      </c>
      <c r="F207" s="347">
        <f t="shared" si="11"/>
        <v>-479.551160576923</v>
      </c>
      <c r="G207" s="347">
        <f t="shared" si="11"/>
        <v>-448.20116057692303</v>
      </c>
    </row>
    <row r="208" spans="1:13" x14ac:dyDescent="0.2">
      <c r="A208" s="22"/>
      <c r="B208" s="346">
        <f>C14</f>
        <v>3</v>
      </c>
      <c r="C208" s="347">
        <f t="shared" si="11"/>
        <v>-596.40116057692308</v>
      </c>
      <c r="D208" s="347">
        <f t="shared" si="11"/>
        <v>-567.90116057692308</v>
      </c>
      <c r="E208" s="348">
        <f t="shared" si="11"/>
        <v>-539.40116057692308</v>
      </c>
      <c r="F208" s="347">
        <f t="shared" si="11"/>
        <v>-510.90116057692302</v>
      </c>
      <c r="G208" s="347">
        <f t="shared" si="11"/>
        <v>-482.40116057692308</v>
      </c>
    </row>
    <row r="209" spans="1:7" x14ac:dyDescent="0.2">
      <c r="A209" s="24" t="s">
        <v>22</v>
      </c>
      <c r="B209" s="346">
        <f>C14*0.9</f>
        <v>2.7</v>
      </c>
      <c r="C209" s="347">
        <f t="shared" si="11"/>
        <v>-619.20116057692303</v>
      </c>
      <c r="D209" s="347">
        <f t="shared" si="11"/>
        <v>-593.55116057692305</v>
      </c>
      <c r="E209" s="347">
        <f t="shared" si="11"/>
        <v>-567.90116057692308</v>
      </c>
      <c r="F209" s="347">
        <f t="shared" si="11"/>
        <v>-542.25116057692298</v>
      </c>
      <c r="G209" s="347">
        <f t="shared" si="11"/>
        <v>-516.60116057692312</v>
      </c>
    </row>
    <row r="210" spans="1:7" x14ac:dyDescent="0.2">
      <c r="A210" s="24" t="s">
        <v>23</v>
      </c>
      <c r="B210" s="346">
        <f>C14*0.8</f>
        <v>2.4000000000000004</v>
      </c>
      <c r="C210" s="347">
        <f t="shared" si="11"/>
        <v>-642.00116057692298</v>
      </c>
      <c r="D210" s="347">
        <f t="shared" si="11"/>
        <v>-619.20116057692303</v>
      </c>
      <c r="E210" s="347">
        <f t="shared" si="11"/>
        <v>-596.40116057692308</v>
      </c>
      <c r="F210" s="347">
        <f t="shared" si="11"/>
        <v>-573.60116057692301</v>
      </c>
      <c r="G210" s="347">
        <f t="shared" si="11"/>
        <v>-550.80116057692305</v>
      </c>
    </row>
    <row r="211" spans="1:7" x14ac:dyDescent="0.2">
      <c r="A211" s="257" t="s">
        <v>414</v>
      </c>
      <c r="B211" s="253"/>
      <c r="C211" s="254">
        <f>D14*0.8</f>
        <v>76</v>
      </c>
      <c r="D211" s="254">
        <f>D14*0.9</f>
        <v>85.5</v>
      </c>
      <c r="E211" s="254">
        <f>D14</f>
        <v>95</v>
      </c>
      <c r="F211" s="254">
        <f>D14*1.1</f>
        <v>104.50000000000001</v>
      </c>
      <c r="G211" s="254">
        <f>D14*1.2</f>
        <v>114</v>
      </c>
    </row>
    <row r="212" spans="1:7" x14ac:dyDescent="0.2">
      <c r="A212" s="257" t="s">
        <v>19</v>
      </c>
      <c r="B212" s="253"/>
      <c r="C212" s="255" t="s">
        <v>23</v>
      </c>
      <c r="D212" s="255" t="s">
        <v>22</v>
      </c>
      <c r="E212" s="256"/>
      <c r="F212" s="255" t="s">
        <v>20</v>
      </c>
      <c r="G212" s="255" t="s">
        <v>21</v>
      </c>
    </row>
  </sheetData>
  <sheetProtection algorithmName="SHA-512" hashValue="YQsMGHmW5duuyp8Atn+2b71DvX2di+yzZPolHefSPnGESJu4204haCetqXXB7hqr/ql8W4KNwpzngVXwI7cckw==" saltValue="9Ed2ldcBHqcnYCusxnJpqw==" spinCount="100000" sheet="1" objects="1" scenarios="1"/>
  <mergeCells count="4">
    <mergeCell ref="C201:G201"/>
    <mergeCell ref="C203:G203"/>
    <mergeCell ref="A204:B204"/>
    <mergeCell ref="C205:G205"/>
  </mergeCells>
  <hyperlinks>
    <hyperlink ref="I135" r:id="rId1" xr:uid="{00000000-0004-0000-0600-000000000000}"/>
    <hyperlink ref="I142" r:id="rId2" xr:uid="{00000000-0004-0000-0600-000001000000}"/>
    <hyperlink ref="I136" r:id="rId3" xr:uid="{00000000-0004-0000-0600-000002000000}"/>
    <hyperlink ref="I139" r:id="rId4" xr:uid="{00000000-0004-0000-0600-000003000000}"/>
  </hyperlinks>
  <pageMargins left="0.7" right="0.7" top="0.75" bottom="0.75" header="0.3" footer="0.3"/>
  <pageSetup scale="40" fitToHeight="0" orientation="portrait" verticalDpi="1200"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S212"/>
  <sheetViews>
    <sheetView zoomScale="94" zoomScaleNormal="94" workbookViewId="0">
      <selection activeCell="E14" sqref="E14"/>
    </sheetView>
  </sheetViews>
  <sheetFormatPr defaultColWidth="8.42578125" defaultRowHeight="12.75" x14ac:dyDescent="0.2"/>
  <cols>
    <col min="1" max="1" width="26.7109375" customWidth="1"/>
    <col min="2" max="2" width="17.85546875" customWidth="1"/>
    <col min="3" max="3" width="17.42578125" customWidth="1"/>
    <col min="4" max="4" width="15.140625" customWidth="1"/>
    <col min="5" max="5" width="11.28515625" customWidth="1"/>
    <col min="6" max="6" width="12.140625" customWidth="1"/>
    <col min="7" max="7" width="13.42578125" customWidth="1"/>
    <col min="8" max="9" width="7.42578125" customWidth="1"/>
    <col min="10" max="10" width="8.42578125" customWidth="1"/>
    <col min="11" max="11" width="8" customWidth="1"/>
    <col min="12" max="12" width="13.7109375" customWidth="1"/>
  </cols>
  <sheetData>
    <row r="1" spans="1:14" ht="15.75" customHeight="1" x14ac:dyDescent="0.2">
      <c r="A1" s="20" t="s">
        <v>29</v>
      </c>
      <c r="E1" s="36"/>
    </row>
    <row r="2" spans="1:14" ht="8.25" customHeight="1" x14ac:dyDescent="0.2"/>
    <row r="3" spans="1:14" ht="15" customHeight="1" x14ac:dyDescent="0.2"/>
    <row r="4" spans="1:14" ht="8.25" customHeight="1" x14ac:dyDescent="0.2"/>
    <row r="5" spans="1:14" ht="18.75" customHeight="1" x14ac:dyDescent="0.25">
      <c r="A5" s="2" t="s">
        <v>328</v>
      </c>
      <c r="D5" s="19"/>
      <c r="E5" s="197"/>
    </row>
    <row r="6" spans="1:14" ht="5.25" customHeight="1" x14ac:dyDescent="0.2"/>
    <row r="7" spans="1:14" x14ac:dyDescent="0.2">
      <c r="A7" s="17" t="s">
        <v>83</v>
      </c>
      <c r="E7" s="67"/>
      <c r="I7" s="38"/>
    </row>
    <row r="8" spans="1:14" x14ac:dyDescent="0.2">
      <c r="A8" s="17" t="s">
        <v>228</v>
      </c>
      <c r="E8" s="242"/>
    </row>
    <row r="9" spans="1:14" x14ac:dyDescent="0.2">
      <c r="A9" s="17" t="s">
        <v>71</v>
      </c>
      <c r="E9" s="79"/>
    </row>
    <row r="10" spans="1:14" x14ac:dyDescent="0.2">
      <c r="A10" s="17"/>
      <c r="C10" s="3"/>
    </row>
    <row r="11" spans="1:14" ht="18" x14ac:dyDescent="0.25">
      <c r="A11" s="2" t="s">
        <v>343</v>
      </c>
      <c r="B11" s="345" t="s">
        <v>422</v>
      </c>
      <c r="C11" s="329"/>
    </row>
    <row r="12" spans="1:14" x14ac:dyDescent="0.2">
      <c r="A12" s="119" t="s">
        <v>37</v>
      </c>
      <c r="B12" s="117"/>
      <c r="C12" s="118"/>
      <c r="D12" s="117"/>
      <c r="E12" s="117"/>
      <c r="F12" s="92"/>
    </row>
    <row r="13" spans="1:14" x14ac:dyDescent="0.2">
      <c r="A13" s="17"/>
      <c r="B13" s="7" t="s">
        <v>306</v>
      </c>
      <c r="C13" s="54" t="s">
        <v>307</v>
      </c>
      <c r="D13" s="7" t="s">
        <v>239</v>
      </c>
      <c r="E13" s="7" t="s">
        <v>236</v>
      </c>
      <c r="H13" s="17" t="s">
        <v>170</v>
      </c>
      <c r="I13" s="17"/>
      <c r="J13" s="17"/>
      <c r="K13" s="17"/>
    </row>
    <row r="14" spans="1:14" x14ac:dyDescent="0.2">
      <c r="A14" s="20" t="s">
        <v>216</v>
      </c>
      <c r="B14" s="275">
        <v>0.5</v>
      </c>
      <c r="C14" s="167">
        <v>10</v>
      </c>
      <c r="D14" s="124">
        <v>95</v>
      </c>
      <c r="E14" s="241">
        <f>C14*D14</f>
        <v>950</v>
      </c>
      <c r="H14" s="20" t="s">
        <v>186</v>
      </c>
      <c r="L14" s="124">
        <v>165</v>
      </c>
      <c r="N14" s="20" t="s">
        <v>187</v>
      </c>
    </row>
    <row r="15" spans="1:14" x14ac:dyDescent="0.2">
      <c r="A15" s="20" t="s">
        <v>217</v>
      </c>
      <c r="B15" s="275">
        <v>0</v>
      </c>
      <c r="C15" s="167">
        <v>0</v>
      </c>
      <c r="D15" s="124">
        <v>0</v>
      </c>
      <c r="E15" s="241">
        <f>C15*D15</f>
        <v>0</v>
      </c>
      <c r="H15" s="20" t="s">
        <v>184</v>
      </c>
      <c r="L15" s="330">
        <v>0.5</v>
      </c>
    </row>
    <row r="16" spans="1:14" x14ac:dyDescent="0.2">
      <c r="A16" s="20" t="s">
        <v>214</v>
      </c>
      <c r="C16" s="299">
        <f>C14*(1-B14)</f>
        <v>5</v>
      </c>
      <c r="E16" s="232"/>
      <c r="H16" s="20" t="s">
        <v>185</v>
      </c>
      <c r="L16" s="241">
        <f>(L14/0.87)*(1-L15)</f>
        <v>94.827586206896555</v>
      </c>
    </row>
    <row r="17" spans="1:18" x14ac:dyDescent="0.2">
      <c r="A17" s="20" t="s">
        <v>215</v>
      </c>
      <c r="C17" s="299">
        <f>C15*(1-B15)</f>
        <v>0</v>
      </c>
      <c r="E17" s="232"/>
      <c r="H17" s="20"/>
      <c r="L17" s="233"/>
    </row>
    <row r="18" spans="1:18" x14ac:dyDescent="0.2">
      <c r="A18" s="152" t="s">
        <v>199</v>
      </c>
      <c r="B18" s="159"/>
      <c r="C18" s="157"/>
      <c r="D18" s="159"/>
      <c r="E18" s="243">
        <f>SUM(E14:E15)</f>
        <v>950</v>
      </c>
    </row>
    <row r="19" spans="1:18" x14ac:dyDescent="0.2">
      <c r="A19" s="119" t="s">
        <v>40</v>
      </c>
      <c r="B19" s="120"/>
      <c r="C19" s="121"/>
      <c r="D19" s="120"/>
      <c r="E19" s="120"/>
      <c r="F19" s="122"/>
    </row>
    <row r="20" spans="1:18" ht="12" customHeight="1" x14ac:dyDescent="0.2">
      <c r="A20" s="17"/>
      <c r="B20" s="4"/>
      <c r="C20" s="3"/>
      <c r="D20" s="4"/>
      <c r="E20" s="4"/>
    </row>
    <row r="21" spans="1:18" x14ac:dyDescent="0.2">
      <c r="A21" s="111" t="s">
        <v>4</v>
      </c>
      <c r="B21" s="92"/>
      <c r="C21" s="112"/>
      <c r="D21" s="112"/>
      <c r="E21" s="112"/>
      <c r="F21" s="92"/>
    </row>
    <row r="22" spans="1:18" ht="15" customHeight="1" x14ac:dyDescent="0.2">
      <c r="A22" s="98" t="s">
        <v>88</v>
      </c>
      <c r="B22" s="99"/>
      <c r="C22" s="100"/>
      <c r="D22" s="100"/>
      <c r="E22" s="100"/>
      <c r="F22" s="97"/>
      <c r="H22" s="17"/>
      <c r="J22" s="17"/>
      <c r="M22" s="20"/>
    </row>
    <row r="23" spans="1:18" x14ac:dyDescent="0.2">
      <c r="A23" s="33"/>
      <c r="B23" s="7" t="s">
        <v>237</v>
      </c>
      <c r="C23" s="7" t="s">
        <v>238</v>
      </c>
      <c r="D23" s="7" t="s">
        <v>239</v>
      </c>
      <c r="E23" s="7" t="s">
        <v>240</v>
      </c>
      <c r="G23" s="65"/>
      <c r="H23" s="17"/>
      <c r="J23" s="17"/>
      <c r="K23" s="17"/>
      <c r="M23" s="20"/>
    </row>
    <row r="24" spans="1:18" x14ac:dyDescent="0.2">
      <c r="A24" s="39" t="s">
        <v>303</v>
      </c>
      <c r="B24" s="207"/>
      <c r="C24" s="78">
        <v>0</v>
      </c>
      <c r="D24" s="90">
        <v>0</v>
      </c>
      <c r="E24" s="244">
        <f>((D24/2000)*B24*C24)</f>
        <v>0</v>
      </c>
      <c r="G24" s="48"/>
      <c r="H24" s="6"/>
      <c r="I24" s="48"/>
      <c r="J24" s="6"/>
      <c r="O24" s="20"/>
      <c r="P24" s="20"/>
      <c r="Q24" s="20"/>
      <c r="R24" s="20"/>
    </row>
    <row r="25" spans="1:18" x14ac:dyDescent="0.2">
      <c r="A25" s="39"/>
      <c r="B25" s="40"/>
      <c r="C25" s="47"/>
      <c r="D25" s="10"/>
      <c r="E25" s="46"/>
      <c r="G25" s="48"/>
      <c r="H25" s="6"/>
      <c r="I25" s="48"/>
      <c r="J25" s="6"/>
      <c r="O25" s="20"/>
      <c r="P25" s="20"/>
      <c r="Q25" s="20"/>
      <c r="R25" s="20"/>
    </row>
    <row r="26" spans="1:18" x14ac:dyDescent="0.2">
      <c r="A26" s="33"/>
      <c r="C26" s="7" t="s">
        <v>87</v>
      </c>
      <c r="D26" s="7" t="s">
        <v>239</v>
      </c>
      <c r="E26" s="7" t="s">
        <v>240</v>
      </c>
      <c r="G26" s="65"/>
      <c r="H26" s="17"/>
      <c r="J26" s="17"/>
      <c r="K26" s="17"/>
      <c r="M26" s="20"/>
    </row>
    <row r="27" spans="1:18" x14ac:dyDescent="0.2">
      <c r="A27" s="208" t="s">
        <v>171</v>
      </c>
      <c r="B27" s="4"/>
      <c r="C27" s="68">
        <v>0</v>
      </c>
      <c r="D27" s="90">
        <v>520</v>
      </c>
      <c r="E27" s="245">
        <f>C27*(D27/2000)</f>
        <v>0</v>
      </c>
      <c r="G27" s="5"/>
      <c r="H27" s="1"/>
      <c r="J27" s="56"/>
    </row>
    <row r="28" spans="1:18" x14ac:dyDescent="0.2">
      <c r="A28" s="208" t="s">
        <v>66</v>
      </c>
      <c r="B28" s="4"/>
      <c r="C28" s="77"/>
      <c r="D28" s="90">
        <v>0</v>
      </c>
      <c r="E28" s="246">
        <f>C28*(D28/2000)</f>
        <v>0</v>
      </c>
      <c r="G28" s="5"/>
      <c r="H28" s="1"/>
      <c r="J28" s="56"/>
    </row>
    <row r="29" spans="1:18" x14ac:dyDescent="0.2">
      <c r="A29" s="209" t="s">
        <v>66</v>
      </c>
      <c r="B29" s="4"/>
      <c r="C29" s="77"/>
      <c r="D29" s="193"/>
      <c r="E29" s="246">
        <f>C29*(D29/2000)</f>
        <v>0</v>
      </c>
      <c r="G29" s="5"/>
      <c r="H29" s="1"/>
      <c r="J29" s="56"/>
    </row>
    <row r="30" spans="1:18" x14ac:dyDescent="0.2">
      <c r="A30" s="208"/>
      <c r="B30" s="4"/>
      <c r="C30" s="68"/>
      <c r="D30" s="90"/>
      <c r="E30" s="245">
        <f>C30*(D30/2000)</f>
        <v>0</v>
      </c>
      <c r="G30" s="5"/>
      <c r="H30" s="1"/>
      <c r="J30" s="56"/>
    </row>
    <row r="31" spans="1:18" x14ac:dyDescent="0.2">
      <c r="A31" s="94"/>
      <c r="B31" s="4"/>
      <c r="C31" s="42"/>
      <c r="D31" s="93"/>
      <c r="E31" s="93"/>
      <c r="G31" s="5"/>
      <c r="H31" s="1"/>
      <c r="J31" s="56"/>
    </row>
    <row r="32" spans="1:18" ht="14.25" customHeight="1" x14ac:dyDescent="0.2">
      <c r="A32" s="95" t="s">
        <v>135</v>
      </c>
      <c r="B32" s="96"/>
      <c r="C32" s="160"/>
      <c r="D32" s="161"/>
      <c r="E32" s="161"/>
      <c r="F32" s="97"/>
    </row>
    <row r="33" spans="1:12" ht="14.25" customHeight="1" x14ac:dyDescent="0.2">
      <c r="A33" s="48" t="s">
        <v>304</v>
      </c>
      <c r="C33" s="219" t="s">
        <v>68</v>
      </c>
      <c r="D33" s="7" t="s">
        <v>69</v>
      </c>
      <c r="E33" s="7" t="s">
        <v>240</v>
      </c>
    </row>
    <row r="34" spans="1:12" ht="14.25" customHeight="1" x14ac:dyDescent="0.2">
      <c r="A34" s="201" t="s">
        <v>14</v>
      </c>
      <c r="B34" s="40"/>
      <c r="C34" s="68">
        <v>0</v>
      </c>
      <c r="D34" s="90">
        <v>0.6</v>
      </c>
      <c r="E34" s="245">
        <f>C34*D34</f>
        <v>0</v>
      </c>
    </row>
    <row r="35" spans="1:12" ht="14.25" customHeight="1" x14ac:dyDescent="0.2">
      <c r="A35" s="220" t="s">
        <v>15</v>
      </c>
      <c r="B35" s="4"/>
      <c r="C35" s="68"/>
      <c r="D35" s="90"/>
      <c r="E35" s="245">
        <f t="shared" ref="E35:E37" si="0">C35*D35</f>
        <v>0</v>
      </c>
    </row>
    <row r="36" spans="1:12" ht="13.5" customHeight="1" x14ac:dyDescent="0.2">
      <c r="A36" s="220" t="s">
        <v>16</v>
      </c>
      <c r="B36" s="4"/>
      <c r="C36" s="68"/>
      <c r="D36" s="90"/>
      <c r="E36" s="245">
        <f t="shared" si="0"/>
        <v>0</v>
      </c>
      <c r="G36" s="72"/>
      <c r="H36" s="16"/>
      <c r="I36" s="16"/>
      <c r="J36" s="7"/>
      <c r="K36" s="17"/>
      <c r="L36" s="17"/>
    </row>
    <row r="37" spans="1:12" ht="14.25" customHeight="1" x14ac:dyDescent="0.2">
      <c r="A37" s="221" t="s">
        <v>17</v>
      </c>
      <c r="B37" s="4"/>
      <c r="C37" s="68"/>
      <c r="D37" s="90"/>
      <c r="E37" s="246">
        <f t="shared" si="0"/>
        <v>0</v>
      </c>
      <c r="G37" s="5"/>
      <c r="H37" s="6"/>
      <c r="I37" s="6"/>
      <c r="J37" s="6"/>
      <c r="K37" s="6"/>
    </row>
    <row r="38" spans="1:12" ht="14.25" customHeight="1" x14ac:dyDescent="0.2">
      <c r="A38" s="199" t="s">
        <v>86</v>
      </c>
      <c r="B38" s="4"/>
      <c r="C38" s="42"/>
      <c r="D38" s="93"/>
      <c r="E38" s="210">
        <v>0</v>
      </c>
      <c r="G38" s="5"/>
      <c r="H38" s="6"/>
      <c r="I38" s="6"/>
      <c r="J38" s="6"/>
      <c r="K38" s="6"/>
    </row>
    <row r="39" spans="1:12" ht="14.25" customHeight="1" x14ac:dyDescent="0.2">
      <c r="A39" s="82" t="s">
        <v>136</v>
      </c>
      <c r="B39" s="81"/>
      <c r="C39" s="42"/>
      <c r="D39" s="93"/>
      <c r="E39" s="90">
        <v>0</v>
      </c>
      <c r="G39" s="5"/>
      <c r="H39" s="6"/>
      <c r="I39" s="6"/>
      <c r="J39" s="6"/>
      <c r="K39" s="6"/>
    </row>
    <row r="40" spans="1:12" ht="14.25" x14ac:dyDescent="0.25">
      <c r="A40" s="32"/>
      <c r="B40" s="4"/>
      <c r="C40" s="7" t="s">
        <v>193</v>
      </c>
      <c r="D40" s="223" t="s">
        <v>265</v>
      </c>
      <c r="E40" s="46"/>
      <c r="G40" s="65"/>
      <c r="I40" s="6"/>
    </row>
    <row r="41" spans="1:12" x14ac:dyDescent="0.2">
      <c r="A41" s="94" t="s">
        <v>192</v>
      </c>
      <c r="C41" s="68">
        <v>65</v>
      </c>
      <c r="D41" s="210">
        <v>0.81</v>
      </c>
      <c r="E41" s="247">
        <f t="shared" ref="E41" si="1">C41*D41</f>
        <v>52.650000000000006</v>
      </c>
      <c r="G41" s="48"/>
      <c r="H41" s="6"/>
    </row>
    <row r="42" spans="1:12" ht="14.25" customHeight="1" x14ac:dyDescent="0.25">
      <c r="A42" s="39"/>
      <c r="B42" s="4"/>
      <c r="C42" s="7" t="s">
        <v>194</v>
      </c>
      <c r="D42" s="223" t="s">
        <v>264</v>
      </c>
      <c r="E42" s="46"/>
      <c r="G42" s="5"/>
      <c r="H42" s="6"/>
      <c r="K42" s="17"/>
    </row>
    <row r="43" spans="1:12" ht="14.25" customHeight="1" x14ac:dyDescent="0.2">
      <c r="A43" s="222" t="s">
        <v>13</v>
      </c>
      <c r="C43" s="68">
        <v>300</v>
      </c>
      <c r="D43" s="90">
        <v>0.43</v>
      </c>
      <c r="E43" s="245">
        <f>C43*D43</f>
        <v>129</v>
      </c>
      <c r="G43" s="72"/>
      <c r="H43" s="16"/>
      <c r="I43" s="73"/>
      <c r="J43" s="73"/>
      <c r="K43" s="7"/>
      <c r="L43" s="7"/>
    </row>
    <row r="44" spans="1:12" ht="14.25" customHeight="1" x14ac:dyDescent="0.2">
      <c r="C44" s="12"/>
      <c r="G44" s="5"/>
      <c r="H44" s="1"/>
      <c r="I44" s="1"/>
      <c r="J44" s="1"/>
      <c r="K44" s="1"/>
      <c r="L44" s="1"/>
    </row>
    <row r="45" spans="1:12" ht="14.25" customHeight="1" x14ac:dyDescent="0.2">
      <c r="A45" s="199" t="s">
        <v>133</v>
      </c>
      <c r="B45" s="4"/>
      <c r="C45" s="9"/>
      <c r="D45" s="10"/>
      <c r="E45" s="90">
        <v>0</v>
      </c>
      <c r="G45" s="5"/>
      <c r="H45" s="6"/>
      <c r="I45" s="6"/>
      <c r="J45" s="6"/>
      <c r="K45" s="6"/>
      <c r="L45" s="6"/>
    </row>
    <row r="46" spans="1:12" ht="14.25" customHeight="1" x14ac:dyDescent="0.2">
      <c r="A46" s="166"/>
      <c r="B46" s="4"/>
      <c r="C46" s="9"/>
      <c r="D46" s="10"/>
      <c r="E46" s="102"/>
      <c r="G46" s="5"/>
      <c r="H46" s="6"/>
      <c r="I46" s="6"/>
      <c r="J46" s="6"/>
      <c r="K46" s="6"/>
      <c r="L46" s="6"/>
    </row>
    <row r="47" spans="1:12" ht="14.25" customHeight="1" x14ac:dyDescent="0.2">
      <c r="A47" s="199" t="s">
        <v>7</v>
      </c>
      <c r="B47" s="4"/>
      <c r="C47" s="9"/>
      <c r="D47" s="10"/>
      <c r="E47" s="90">
        <v>0</v>
      </c>
      <c r="G47" s="5"/>
      <c r="H47" s="6"/>
      <c r="I47" s="6"/>
      <c r="J47" s="6"/>
      <c r="K47" s="6"/>
      <c r="L47" s="6"/>
    </row>
    <row r="48" spans="1:12" ht="14.25" customHeight="1" x14ac:dyDescent="0.2">
      <c r="A48" s="199"/>
      <c r="B48" s="4"/>
      <c r="C48" s="9"/>
      <c r="D48" s="10"/>
      <c r="E48" s="90">
        <v>0</v>
      </c>
      <c r="G48" s="5"/>
      <c r="H48" s="6"/>
      <c r="I48" s="6"/>
      <c r="J48" s="6"/>
      <c r="K48" s="6"/>
      <c r="L48" s="6"/>
    </row>
    <row r="49" spans="1:12" ht="14.25" customHeight="1" x14ac:dyDescent="0.2">
      <c r="A49" s="199"/>
      <c r="B49" s="4"/>
      <c r="C49" s="9"/>
      <c r="D49" s="10"/>
      <c r="E49" s="90">
        <v>0</v>
      </c>
      <c r="G49" s="5"/>
      <c r="H49" s="6"/>
      <c r="I49" s="6"/>
      <c r="J49" s="6"/>
      <c r="K49" s="6"/>
      <c r="L49" s="6"/>
    </row>
    <row r="50" spans="1:12" ht="14.25" customHeight="1" x14ac:dyDescent="0.2">
      <c r="A50" s="33" t="s">
        <v>247</v>
      </c>
      <c r="B50" s="101"/>
      <c r="C50" s="219" t="s">
        <v>72</v>
      </c>
      <c r="D50" s="54" t="s">
        <v>255</v>
      </c>
      <c r="E50" s="10"/>
      <c r="G50" s="5"/>
      <c r="H50" s="6"/>
      <c r="I50" s="6"/>
      <c r="J50" s="6"/>
      <c r="K50" s="6"/>
      <c r="L50" s="6"/>
    </row>
    <row r="51" spans="1:12" ht="14.25" customHeight="1" x14ac:dyDescent="0.2">
      <c r="A51" s="199" t="s">
        <v>89</v>
      </c>
      <c r="B51" s="4"/>
      <c r="C51" s="68">
        <v>2</v>
      </c>
      <c r="D51" s="90">
        <v>9</v>
      </c>
      <c r="E51" s="245">
        <f>D51*C51</f>
        <v>18</v>
      </c>
      <c r="G51" s="5"/>
      <c r="H51" s="6"/>
      <c r="I51" s="6"/>
      <c r="J51" s="6"/>
      <c r="K51" s="6"/>
      <c r="L51" s="6"/>
    </row>
    <row r="52" spans="1:12" ht="14.25" customHeight="1" x14ac:dyDescent="0.2">
      <c r="A52" s="199"/>
      <c r="B52" s="4"/>
      <c r="C52" s="68"/>
      <c r="D52" s="90"/>
      <c r="E52" s="245">
        <f t="shared" ref="E52:E53" si="2">D52*C52</f>
        <v>0</v>
      </c>
      <c r="G52" s="5"/>
      <c r="H52" s="6"/>
      <c r="I52" s="6"/>
      <c r="J52" s="6"/>
      <c r="K52" s="6"/>
      <c r="L52" s="6"/>
    </row>
    <row r="53" spans="1:12" ht="14.25" customHeight="1" x14ac:dyDescent="0.2">
      <c r="A53" s="199"/>
      <c r="B53" s="4"/>
      <c r="C53" s="68"/>
      <c r="D53" s="90"/>
      <c r="E53" s="245">
        <f t="shared" si="2"/>
        <v>0</v>
      </c>
      <c r="G53" s="5"/>
      <c r="H53" s="6"/>
      <c r="I53" s="6"/>
      <c r="J53" s="6"/>
      <c r="K53" s="6"/>
      <c r="L53" s="6"/>
    </row>
    <row r="54" spans="1:12" ht="14.25" customHeight="1" x14ac:dyDescent="0.2">
      <c r="A54" s="33"/>
      <c r="B54" s="4"/>
      <c r="C54" s="9"/>
      <c r="D54" s="10"/>
      <c r="E54" s="10"/>
      <c r="G54" s="5"/>
      <c r="H54" s="6"/>
      <c r="I54" s="6"/>
      <c r="J54" s="6"/>
      <c r="K54" s="6"/>
      <c r="L54" s="6"/>
    </row>
    <row r="55" spans="1:12" x14ac:dyDescent="0.2">
      <c r="B55" s="7" t="s">
        <v>262</v>
      </c>
      <c r="C55" s="7" t="s">
        <v>263</v>
      </c>
      <c r="D55" s="54" t="s">
        <v>239</v>
      </c>
      <c r="E55" s="7" t="s">
        <v>240</v>
      </c>
    </row>
    <row r="56" spans="1:12" x14ac:dyDescent="0.2">
      <c r="A56" s="4" t="s">
        <v>80</v>
      </c>
      <c r="B56" s="211">
        <v>1</v>
      </c>
      <c r="C56" s="69">
        <v>0</v>
      </c>
      <c r="D56" s="124"/>
      <c r="E56" s="245">
        <f>(D56*C56)/B56</f>
        <v>0</v>
      </c>
      <c r="H56" s="80"/>
    </row>
    <row r="57" spans="1:12" x14ac:dyDescent="0.2">
      <c r="A57" s="15"/>
      <c r="B57" s="40"/>
      <c r="C57" s="125"/>
      <c r="D57" s="224" t="s">
        <v>240</v>
      </c>
      <c r="E57" s="102"/>
      <c r="H57" s="80"/>
    </row>
    <row r="58" spans="1:12" x14ac:dyDescent="0.2">
      <c r="A58" s="33" t="s">
        <v>98</v>
      </c>
      <c r="B58" s="4"/>
      <c r="C58" s="123"/>
      <c r="D58" s="124"/>
      <c r="E58" s="245">
        <f>D58/B56</f>
        <v>0</v>
      </c>
      <c r="H58" s="80"/>
    </row>
    <row r="59" spans="1:12" x14ac:dyDescent="0.2">
      <c r="A59" s="15"/>
      <c r="B59" s="84"/>
      <c r="C59" s="20"/>
      <c r="D59" s="1"/>
      <c r="E59" s="6"/>
      <c r="H59" s="80"/>
    </row>
    <row r="60" spans="1:12" x14ac:dyDescent="0.2">
      <c r="A60" s="152" t="s">
        <v>197</v>
      </c>
      <c r="B60" s="159"/>
      <c r="C60" s="159"/>
      <c r="D60" s="159"/>
      <c r="E60" s="243">
        <f>SUM(E24:E59)</f>
        <v>199.65</v>
      </c>
      <c r="G60" s="33"/>
      <c r="H60" s="33"/>
    </row>
    <row r="61" spans="1:12" x14ac:dyDescent="0.2">
      <c r="A61" s="111" t="s">
        <v>94</v>
      </c>
      <c r="B61" s="92"/>
      <c r="C61" s="92"/>
      <c r="D61" s="92"/>
      <c r="E61" s="92"/>
      <c r="F61" s="92"/>
      <c r="G61" s="33"/>
      <c r="H61" s="33"/>
    </row>
    <row r="62" spans="1:12" x14ac:dyDescent="0.2">
      <c r="A62" s="20" t="s">
        <v>182</v>
      </c>
      <c r="B62" s="60">
        <v>3</v>
      </c>
      <c r="G62" s="33"/>
      <c r="H62" s="33"/>
    </row>
    <row r="63" spans="1:12" x14ac:dyDescent="0.2">
      <c r="A63" s="18"/>
      <c r="B63" s="4"/>
      <c r="C63" s="54" t="s">
        <v>313</v>
      </c>
      <c r="D63" s="54" t="s">
        <v>314</v>
      </c>
      <c r="E63" s="7" t="s">
        <v>240</v>
      </c>
      <c r="G63" s="33"/>
      <c r="H63" s="33"/>
    </row>
    <row r="64" spans="1:12" x14ac:dyDescent="0.2">
      <c r="A64" s="199" t="s">
        <v>172</v>
      </c>
      <c r="B64" s="40"/>
      <c r="C64" s="68">
        <v>0</v>
      </c>
      <c r="D64" s="169">
        <v>350</v>
      </c>
      <c r="E64" s="245">
        <f>((C64/50)*D64)/$B$62</f>
        <v>0</v>
      </c>
      <c r="G64" s="33"/>
      <c r="H64" s="33"/>
    </row>
    <row r="65" spans="1:8" x14ac:dyDescent="0.2">
      <c r="A65" s="199" t="s">
        <v>413</v>
      </c>
      <c r="B65" s="40"/>
      <c r="C65" s="68"/>
      <c r="D65" s="169"/>
      <c r="E65" s="245">
        <f t="shared" ref="E65:E67" si="3">((C65/50)*D65)/$B$62</f>
        <v>0</v>
      </c>
      <c r="G65" s="33"/>
      <c r="H65" s="33"/>
    </row>
    <row r="66" spans="1:8" x14ac:dyDescent="0.2">
      <c r="A66" s="199"/>
      <c r="B66" s="40"/>
      <c r="C66" s="68"/>
      <c r="D66" s="169"/>
      <c r="E66" s="245">
        <f t="shared" si="3"/>
        <v>0</v>
      </c>
      <c r="G66" s="33"/>
      <c r="H66" s="33"/>
    </row>
    <row r="67" spans="1:8" x14ac:dyDescent="0.2">
      <c r="A67" s="60"/>
      <c r="B67" s="40"/>
      <c r="C67" s="68"/>
      <c r="D67" s="169"/>
      <c r="E67" s="245">
        <f t="shared" si="3"/>
        <v>0</v>
      </c>
      <c r="G67" s="33"/>
      <c r="H67" s="33"/>
    </row>
    <row r="68" spans="1:8" x14ac:dyDescent="0.2">
      <c r="A68" s="5"/>
      <c r="B68" s="5"/>
      <c r="C68" s="7" t="s">
        <v>298</v>
      </c>
      <c r="D68" s="54" t="s">
        <v>235</v>
      </c>
      <c r="E68" s="7" t="s">
        <v>240</v>
      </c>
    </row>
    <row r="69" spans="1:8" x14ac:dyDescent="0.2">
      <c r="A69" s="48" t="s">
        <v>345</v>
      </c>
      <c r="B69" s="48"/>
      <c r="C69" s="77">
        <v>0</v>
      </c>
      <c r="D69" s="170"/>
      <c r="E69" s="248">
        <f>D69*C69</f>
        <v>0</v>
      </c>
    </row>
    <row r="70" spans="1:8" x14ac:dyDescent="0.2">
      <c r="A70" s="48" t="s">
        <v>345</v>
      </c>
      <c r="B70" s="48"/>
      <c r="C70" s="68"/>
      <c r="D70" s="169"/>
      <c r="E70" s="324">
        <f>D70*C70</f>
        <v>0</v>
      </c>
    </row>
    <row r="71" spans="1:8" x14ac:dyDescent="0.2">
      <c r="A71" s="48"/>
      <c r="B71" s="48"/>
      <c r="C71" s="225" t="s">
        <v>260</v>
      </c>
      <c r="D71" s="234" t="s">
        <v>261</v>
      </c>
      <c r="E71" s="227" t="s">
        <v>240</v>
      </c>
    </row>
    <row r="72" spans="1:8" x14ac:dyDescent="0.2">
      <c r="A72" s="48" t="s">
        <v>345</v>
      </c>
      <c r="B72" s="48"/>
      <c r="C72" s="68"/>
      <c r="D72" s="169"/>
      <c r="E72" s="324">
        <f>D72*C72</f>
        <v>0</v>
      </c>
    </row>
    <row r="73" spans="1:8" x14ac:dyDescent="0.2">
      <c r="A73" s="146" t="s">
        <v>196</v>
      </c>
      <c r="B73" s="153"/>
      <c r="C73" s="158"/>
      <c r="D73" s="157"/>
      <c r="E73" s="249">
        <f>E64+E69+E70+E72</f>
        <v>0</v>
      </c>
    </row>
    <row r="74" spans="1:8" x14ac:dyDescent="0.2">
      <c r="A74" s="110" t="s">
        <v>92</v>
      </c>
      <c r="B74" s="106"/>
      <c r="C74" s="107"/>
      <c r="D74" s="108"/>
      <c r="E74" s="145"/>
      <c r="F74" s="92"/>
    </row>
    <row r="75" spans="1:8" x14ac:dyDescent="0.2">
      <c r="A75" s="65" t="s">
        <v>2</v>
      </c>
      <c r="B75" s="4"/>
      <c r="C75" s="162"/>
      <c r="D75" s="83"/>
      <c r="E75" s="8" t="s">
        <v>67</v>
      </c>
      <c r="G75" s="31"/>
      <c r="H75" s="31"/>
    </row>
    <row r="76" spans="1:8" x14ac:dyDescent="0.2">
      <c r="A76" s="33" t="s">
        <v>126</v>
      </c>
      <c r="B76" s="4"/>
      <c r="C76" s="162"/>
      <c r="D76" s="83"/>
      <c r="E76" s="217">
        <v>0</v>
      </c>
      <c r="G76" s="31"/>
      <c r="H76" s="31"/>
    </row>
    <row r="77" spans="1:8" x14ac:dyDescent="0.2">
      <c r="A77" s="40" t="s">
        <v>99</v>
      </c>
      <c r="B77" s="4"/>
      <c r="C77" s="162"/>
      <c r="D77" s="83"/>
      <c r="E77" s="90">
        <v>0</v>
      </c>
      <c r="G77" s="31"/>
      <c r="H77" s="31"/>
    </row>
    <row r="78" spans="1:8" x14ac:dyDescent="0.2">
      <c r="A78" s="33" t="s">
        <v>127</v>
      </c>
      <c r="B78" s="4"/>
      <c r="C78" s="9"/>
      <c r="D78" s="163"/>
      <c r="E78" s="90">
        <v>0</v>
      </c>
      <c r="G78" s="31"/>
      <c r="H78" s="31"/>
    </row>
    <row r="79" spans="1:8" x14ac:dyDescent="0.2">
      <c r="A79" s="40" t="s">
        <v>99</v>
      </c>
      <c r="B79" s="4"/>
      <c r="C79" s="9"/>
      <c r="D79" s="163"/>
      <c r="E79" s="90">
        <v>0</v>
      </c>
      <c r="G79" s="31"/>
      <c r="H79" s="31"/>
    </row>
    <row r="80" spans="1:8" x14ac:dyDescent="0.2">
      <c r="A80" s="33" t="s">
        <v>128</v>
      </c>
      <c r="B80" s="4"/>
      <c r="C80" s="9"/>
      <c r="D80" s="163"/>
      <c r="E80" s="90">
        <v>0</v>
      </c>
      <c r="G80" s="31"/>
      <c r="H80" s="31"/>
    </row>
    <row r="81" spans="1:8" x14ac:dyDescent="0.2">
      <c r="A81" s="40" t="s">
        <v>99</v>
      </c>
      <c r="B81" s="4"/>
      <c r="C81" s="9"/>
      <c r="D81" s="163"/>
      <c r="E81" s="90">
        <v>0</v>
      </c>
      <c r="G81" s="31"/>
      <c r="H81" s="31"/>
    </row>
    <row r="82" spans="1:8" x14ac:dyDescent="0.2">
      <c r="A82" s="143" t="s">
        <v>129</v>
      </c>
      <c r="B82" s="3"/>
      <c r="C82" s="42"/>
      <c r="D82" s="164"/>
      <c r="E82" s="90">
        <v>0</v>
      </c>
      <c r="G82" s="30"/>
      <c r="H82" s="30"/>
    </row>
    <row r="83" spans="1:8" x14ac:dyDescent="0.2">
      <c r="A83" s="143" t="s">
        <v>99</v>
      </c>
      <c r="B83" s="3"/>
      <c r="C83" s="42"/>
      <c r="D83" s="164"/>
      <c r="E83" s="90">
        <v>0</v>
      </c>
      <c r="G83" s="20"/>
      <c r="H83" s="20"/>
    </row>
    <row r="84" spans="1:8" x14ac:dyDescent="0.2">
      <c r="A84" s="65" t="s">
        <v>8</v>
      </c>
      <c r="B84" s="4"/>
      <c r="C84" s="9"/>
      <c r="D84" s="3"/>
      <c r="E84" s="169">
        <v>0</v>
      </c>
    </row>
    <row r="85" spans="1:8" x14ac:dyDescent="0.2">
      <c r="A85" s="40" t="s">
        <v>130</v>
      </c>
      <c r="B85" s="4"/>
      <c r="C85" s="9"/>
      <c r="D85" s="3"/>
      <c r="E85" s="169">
        <v>0</v>
      </c>
    </row>
    <row r="86" spans="1:8" x14ac:dyDescent="0.2">
      <c r="A86" s="40" t="s">
        <v>99</v>
      </c>
      <c r="B86" s="4"/>
      <c r="C86" s="9"/>
      <c r="D86" s="3"/>
      <c r="E86" s="169">
        <v>0</v>
      </c>
    </row>
    <row r="87" spans="1:8" x14ac:dyDescent="0.2">
      <c r="A87" s="37" t="s">
        <v>131</v>
      </c>
      <c r="B87" s="3"/>
      <c r="C87" s="42"/>
      <c r="D87" s="164"/>
      <c r="E87" s="90">
        <v>0</v>
      </c>
    </row>
    <row r="88" spans="1:8" x14ac:dyDescent="0.2">
      <c r="A88" s="37" t="s">
        <v>99</v>
      </c>
      <c r="B88" s="3"/>
      <c r="C88" s="42"/>
      <c r="D88" s="164"/>
      <c r="E88" s="90">
        <v>0</v>
      </c>
    </row>
    <row r="89" spans="1:8" x14ac:dyDescent="0.2">
      <c r="A89" s="37" t="s">
        <v>131</v>
      </c>
      <c r="B89" s="3"/>
      <c r="C89" s="42"/>
      <c r="D89" s="164"/>
      <c r="E89" s="90">
        <v>0</v>
      </c>
    </row>
    <row r="90" spans="1:8" x14ac:dyDescent="0.2">
      <c r="A90" s="37" t="s">
        <v>99</v>
      </c>
      <c r="B90" s="3"/>
      <c r="C90" s="42"/>
      <c r="D90" s="164"/>
      <c r="E90" s="90">
        <v>0</v>
      </c>
    </row>
    <row r="91" spans="1:8" x14ac:dyDescent="0.2">
      <c r="A91" s="65" t="s">
        <v>12</v>
      </c>
      <c r="B91" s="4"/>
      <c r="C91" s="9"/>
      <c r="D91" s="3"/>
      <c r="E91" s="169">
        <v>0</v>
      </c>
    </row>
    <row r="92" spans="1:8" ht="13.5" customHeight="1" x14ac:dyDescent="0.2">
      <c r="A92" s="37" t="s">
        <v>175</v>
      </c>
      <c r="B92" s="3"/>
      <c r="C92" s="42"/>
      <c r="D92" s="164"/>
      <c r="E92" s="90">
        <v>0</v>
      </c>
      <c r="H92" s="20"/>
    </row>
    <row r="93" spans="1:8" x14ac:dyDescent="0.2">
      <c r="A93" s="37" t="s">
        <v>99</v>
      </c>
      <c r="B93" s="3"/>
      <c r="C93" s="42"/>
      <c r="D93" s="164"/>
      <c r="E93" s="90">
        <v>0</v>
      </c>
    </row>
    <row r="94" spans="1:8" x14ac:dyDescent="0.2">
      <c r="A94" s="37" t="s">
        <v>176</v>
      </c>
      <c r="B94" s="3"/>
      <c r="C94" s="42"/>
      <c r="D94" s="164"/>
      <c r="E94" s="90">
        <v>0</v>
      </c>
    </row>
    <row r="95" spans="1:8" x14ac:dyDescent="0.2">
      <c r="A95" s="37" t="s">
        <v>99</v>
      </c>
      <c r="B95" s="3"/>
      <c r="C95" s="42"/>
      <c r="D95" s="164"/>
      <c r="E95" s="90">
        <v>0</v>
      </c>
    </row>
    <row r="96" spans="1:8" x14ac:dyDescent="0.2">
      <c r="A96" s="37" t="s">
        <v>177</v>
      </c>
      <c r="B96" s="3"/>
      <c r="C96" s="42"/>
      <c r="D96" s="164"/>
      <c r="E96" s="90">
        <v>0</v>
      </c>
    </row>
    <row r="97" spans="1:8" x14ac:dyDescent="0.2">
      <c r="A97" s="37" t="s">
        <v>99</v>
      </c>
      <c r="B97" s="3"/>
      <c r="C97" s="42"/>
      <c r="D97" s="164"/>
      <c r="E97" s="90">
        <v>0</v>
      </c>
    </row>
    <row r="98" spans="1:8" x14ac:dyDescent="0.2">
      <c r="A98" s="143" t="s">
        <v>30</v>
      </c>
      <c r="B98" s="3"/>
      <c r="C98" s="42"/>
      <c r="D98" s="164"/>
      <c r="E98" s="90">
        <v>0</v>
      </c>
    </row>
    <row r="99" spans="1:8" x14ac:dyDescent="0.2">
      <c r="A99" s="143" t="s">
        <v>31</v>
      </c>
      <c r="B99" s="3"/>
      <c r="C99" s="42"/>
      <c r="D99" s="164"/>
      <c r="E99" s="90">
        <v>0</v>
      </c>
    </row>
    <row r="100" spans="1:8" x14ac:dyDescent="0.2">
      <c r="A100" s="156" t="s">
        <v>198</v>
      </c>
      <c r="B100" s="157"/>
      <c r="C100" s="148"/>
      <c r="D100" s="165"/>
      <c r="E100" s="250">
        <f>SUM(E76:E99)</f>
        <v>0</v>
      </c>
    </row>
    <row r="101" spans="1:8" x14ac:dyDescent="0.2">
      <c r="A101" s="131" t="s">
        <v>10</v>
      </c>
      <c r="B101" s="105"/>
      <c r="C101" s="130"/>
      <c r="D101" s="109"/>
      <c r="E101" s="109"/>
      <c r="F101" s="92"/>
    </row>
    <row r="102" spans="1:8" x14ac:dyDescent="0.2">
      <c r="A102" s="144"/>
      <c r="B102" s="3"/>
      <c r="C102" s="9"/>
      <c r="D102" s="10"/>
      <c r="E102" s="7" t="s">
        <v>240</v>
      </c>
    </row>
    <row r="103" spans="1:8" x14ac:dyDescent="0.2">
      <c r="A103" s="143" t="s">
        <v>118</v>
      </c>
      <c r="B103" s="3"/>
      <c r="C103" s="42"/>
      <c r="D103" s="43"/>
      <c r="E103" s="90">
        <v>0</v>
      </c>
    </row>
    <row r="104" spans="1:8" x14ac:dyDescent="0.2">
      <c r="A104" s="143"/>
      <c r="B104" s="3"/>
      <c r="C104" s="225" t="s">
        <v>116</v>
      </c>
      <c r="D104" s="226" t="s">
        <v>257</v>
      </c>
      <c r="E104" s="7" t="s">
        <v>240</v>
      </c>
    </row>
    <row r="105" spans="1:8" x14ac:dyDescent="0.2">
      <c r="A105" s="20" t="s">
        <v>115</v>
      </c>
      <c r="B105" s="5"/>
      <c r="C105" s="150">
        <v>0</v>
      </c>
      <c r="D105" s="151">
        <v>5.5</v>
      </c>
      <c r="E105" s="246">
        <f>+C105*D105</f>
        <v>0</v>
      </c>
    </row>
    <row r="106" spans="1:8" x14ac:dyDescent="0.2">
      <c r="A106" s="152" t="s">
        <v>117</v>
      </c>
      <c r="B106" s="153"/>
      <c r="C106" s="154"/>
      <c r="D106" s="155"/>
      <c r="E106" s="250">
        <f>E105+E103</f>
        <v>0</v>
      </c>
    </row>
    <row r="107" spans="1:8" ht="15" x14ac:dyDescent="0.25">
      <c r="A107" s="110" t="s">
        <v>93</v>
      </c>
      <c r="B107" s="103"/>
      <c r="C107" s="104"/>
      <c r="D107" s="105"/>
      <c r="E107" s="105"/>
      <c r="F107" s="92"/>
      <c r="H107" s="129"/>
    </row>
    <row r="108" spans="1:8" ht="13.5" customHeight="1" x14ac:dyDescent="0.2">
      <c r="A108" s="18"/>
      <c r="B108" s="4"/>
      <c r="C108" s="3"/>
      <c r="D108" s="3"/>
      <c r="E108" s="7" t="s">
        <v>240</v>
      </c>
    </row>
    <row r="109" spans="1:8" ht="13.5" customHeight="1" x14ac:dyDescent="0.2">
      <c r="A109" s="33" t="s">
        <v>232</v>
      </c>
      <c r="B109" s="4"/>
      <c r="C109" s="3"/>
      <c r="D109" s="3"/>
      <c r="E109" s="173">
        <v>185</v>
      </c>
    </row>
    <row r="110" spans="1:8" x14ac:dyDescent="0.2">
      <c r="A110" s="33" t="s">
        <v>28</v>
      </c>
      <c r="B110" s="4"/>
      <c r="C110" s="42"/>
      <c r="D110" s="43"/>
      <c r="E110" s="90">
        <v>25</v>
      </c>
    </row>
    <row r="111" spans="1:8" x14ac:dyDescent="0.2">
      <c r="A111" s="33" t="s">
        <v>102</v>
      </c>
      <c r="B111" s="4"/>
      <c r="C111" s="42"/>
      <c r="D111" s="43"/>
      <c r="E111" s="90">
        <v>0</v>
      </c>
    </row>
    <row r="112" spans="1:8" ht="15" x14ac:dyDescent="0.25">
      <c r="A112" s="33" t="s">
        <v>91</v>
      </c>
      <c r="B112" s="40" t="s">
        <v>233</v>
      </c>
      <c r="C112" s="42"/>
      <c r="D112" s="43"/>
      <c r="E112" s="90">
        <v>0</v>
      </c>
      <c r="H112" s="128"/>
    </row>
    <row r="113" spans="1:8" ht="15" x14ac:dyDescent="0.25">
      <c r="A113" s="33" t="s">
        <v>101</v>
      </c>
      <c r="B113" s="40"/>
      <c r="C113" s="42"/>
      <c r="D113" s="43"/>
      <c r="E113" s="193">
        <v>2.5</v>
      </c>
      <c r="H113" s="128"/>
    </row>
    <row r="114" spans="1:8" x14ac:dyDescent="0.2">
      <c r="A114" s="146" t="s">
        <v>120</v>
      </c>
      <c r="B114" s="147"/>
      <c r="C114" s="148"/>
      <c r="D114" s="149"/>
      <c r="E114" s="250">
        <f>SUM(E109:E113)</f>
        <v>212.5</v>
      </c>
    </row>
    <row r="115" spans="1:8" x14ac:dyDescent="0.2">
      <c r="A115" s="92"/>
      <c r="B115" s="103"/>
      <c r="C115" s="135"/>
      <c r="D115" s="136"/>
      <c r="E115" s="133"/>
      <c r="F115" s="92"/>
    </row>
    <row r="116" spans="1:8" x14ac:dyDescent="0.2">
      <c r="A116" s="287" t="s">
        <v>202</v>
      </c>
      <c r="B116" s="288"/>
      <c r="C116" s="289"/>
      <c r="D116" s="290"/>
      <c r="E116" s="250">
        <f>E60+E73+E100+E106+E114</f>
        <v>412.15</v>
      </c>
    </row>
    <row r="117" spans="1:8" x14ac:dyDescent="0.2">
      <c r="A117" s="14"/>
      <c r="B117" s="3"/>
      <c r="C117" s="9"/>
      <c r="D117" s="10"/>
      <c r="E117" s="126"/>
    </row>
    <row r="118" spans="1:8" x14ac:dyDescent="0.2">
      <c r="A118" s="111" t="s">
        <v>100</v>
      </c>
      <c r="B118" s="92"/>
      <c r="C118" s="127"/>
      <c r="D118" s="103"/>
      <c r="E118" s="92"/>
      <c r="F118" s="92"/>
    </row>
    <row r="119" spans="1:8" x14ac:dyDescent="0.2">
      <c r="A119" s="11" t="s">
        <v>121</v>
      </c>
      <c r="C119" s="219" t="s">
        <v>256</v>
      </c>
      <c r="D119" s="228" t="s">
        <v>255</v>
      </c>
      <c r="E119" s="7" t="s">
        <v>240</v>
      </c>
    </row>
    <row r="120" spans="1:8" x14ac:dyDescent="0.2">
      <c r="A120" s="199" t="s">
        <v>411</v>
      </c>
      <c r="B120" s="4"/>
      <c r="C120" s="68">
        <v>0</v>
      </c>
      <c r="D120" s="89">
        <v>22.5</v>
      </c>
      <c r="E120" s="241">
        <f>C120*D120</f>
        <v>0</v>
      </c>
    </row>
    <row r="121" spans="1:8" x14ac:dyDescent="0.2">
      <c r="A121" s="199"/>
      <c r="B121" s="4"/>
      <c r="C121" s="68"/>
      <c r="D121" s="90">
        <v>0</v>
      </c>
      <c r="E121" s="241">
        <f t="shared" ref="E121:E128" si="4">C121*D121</f>
        <v>0</v>
      </c>
    </row>
    <row r="122" spans="1:8" x14ac:dyDescent="0.2">
      <c r="A122" s="199"/>
      <c r="B122" s="4"/>
      <c r="C122" s="68"/>
      <c r="D122" s="90">
        <v>0</v>
      </c>
      <c r="E122" s="241">
        <f t="shared" si="4"/>
        <v>0</v>
      </c>
    </row>
    <row r="123" spans="1:8" x14ac:dyDescent="0.2">
      <c r="A123" s="199"/>
      <c r="B123" s="4"/>
      <c r="C123" s="68"/>
      <c r="D123" s="90">
        <v>0</v>
      </c>
      <c r="E123" s="241">
        <f t="shared" si="4"/>
        <v>0</v>
      </c>
    </row>
    <row r="124" spans="1:8" x14ac:dyDescent="0.2">
      <c r="A124" s="199"/>
      <c r="B124" s="4"/>
      <c r="C124" s="68"/>
      <c r="D124" s="90">
        <v>0</v>
      </c>
      <c r="E124" s="241">
        <f t="shared" si="4"/>
        <v>0</v>
      </c>
    </row>
    <row r="125" spans="1:8" ht="14.25" customHeight="1" x14ac:dyDescent="0.2">
      <c r="A125" s="213"/>
      <c r="B125" s="4"/>
      <c r="C125" s="68"/>
      <c r="D125" s="90">
        <v>0</v>
      </c>
      <c r="E125" s="241">
        <f t="shared" si="4"/>
        <v>0</v>
      </c>
    </row>
    <row r="126" spans="1:8" ht="14.25" customHeight="1" x14ac:dyDescent="0.2">
      <c r="A126" s="213"/>
      <c r="B126" s="4"/>
      <c r="C126" s="68"/>
      <c r="D126" s="90">
        <v>0</v>
      </c>
      <c r="E126" s="241">
        <v>0</v>
      </c>
    </row>
    <row r="127" spans="1:8" ht="14.25" customHeight="1" x14ac:dyDescent="0.2">
      <c r="A127" s="213"/>
      <c r="B127" s="4"/>
      <c r="C127" s="68"/>
      <c r="D127" s="90">
        <v>0</v>
      </c>
      <c r="E127" s="241">
        <v>0</v>
      </c>
    </row>
    <row r="128" spans="1:8" ht="12" customHeight="1" x14ac:dyDescent="0.2">
      <c r="A128" s="213"/>
      <c r="B128" s="3"/>
      <c r="C128" s="68"/>
      <c r="D128" s="90">
        <v>0</v>
      </c>
      <c r="E128" s="241">
        <f t="shared" si="4"/>
        <v>0</v>
      </c>
    </row>
    <row r="129" spans="1:19" ht="12.75" customHeight="1" x14ac:dyDescent="0.2">
      <c r="A129" s="199"/>
      <c r="B129" s="292"/>
      <c r="C129" s="68"/>
      <c r="D129" s="90">
        <v>0</v>
      </c>
      <c r="E129" s="245">
        <f>C129*D129</f>
        <v>0</v>
      </c>
    </row>
    <row r="130" spans="1:19" ht="12" customHeight="1" x14ac:dyDescent="0.2">
      <c r="A130" s="287" t="s">
        <v>183</v>
      </c>
      <c r="B130" s="288"/>
      <c r="C130" s="289"/>
      <c r="D130" s="291"/>
      <c r="E130" s="250">
        <f>SUM(E120:E129)</f>
        <v>0</v>
      </c>
      <c r="H130" s="322"/>
      <c r="I130" s="322" t="s">
        <v>336</v>
      </c>
    </row>
    <row r="131" spans="1:19" ht="12" customHeight="1" x14ac:dyDescent="0.2">
      <c r="A131" s="8"/>
      <c r="B131" s="3"/>
      <c r="C131" s="9"/>
      <c r="D131" s="3"/>
      <c r="E131" s="126"/>
      <c r="H131" s="323"/>
      <c r="I131" s="323" t="s">
        <v>355</v>
      </c>
    </row>
    <row r="132" spans="1:19" ht="12.75" customHeight="1" x14ac:dyDescent="0.2">
      <c r="A132" s="14" t="s">
        <v>220</v>
      </c>
      <c r="B132" s="3"/>
      <c r="C132" s="7" t="s">
        <v>312</v>
      </c>
      <c r="D132" s="7" t="s">
        <v>255</v>
      </c>
      <c r="E132" s="7" t="s">
        <v>240</v>
      </c>
    </row>
    <row r="133" spans="1:19" ht="12.75" customHeight="1" x14ac:dyDescent="0.2">
      <c r="A133" s="196" t="s">
        <v>346</v>
      </c>
      <c r="B133" s="3"/>
      <c r="C133" s="68">
        <v>4</v>
      </c>
      <c r="D133" s="91">
        <v>18</v>
      </c>
      <c r="E133" s="245">
        <f>C133*D133</f>
        <v>72</v>
      </c>
      <c r="H133" s="322"/>
      <c r="I133" s="322" t="s">
        <v>334</v>
      </c>
    </row>
    <row r="134" spans="1:19" ht="12.75" customHeight="1" x14ac:dyDescent="0.2">
      <c r="A134" s="199" t="s">
        <v>347</v>
      </c>
      <c r="B134" s="40"/>
      <c r="C134" s="68">
        <v>4</v>
      </c>
      <c r="D134" s="91">
        <v>18</v>
      </c>
      <c r="E134" s="245">
        <f t="shared" ref="E134:E140" si="5">C134*D134</f>
        <v>72</v>
      </c>
      <c r="H134" s="323"/>
      <c r="I134" s="323" t="s">
        <v>335</v>
      </c>
      <c r="S134" s="4"/>
    </row>
    <row r="135" spans="1:19" ht="12.75" customHeight="1" x14ac:dyDescent="0.2">
      <c r="A135" s="199" t="s">
        <v>349</v>
      </c>
      <c r="B135" s="4"/>
      <c r="C135" s="68">
        <v>4</v>
      </c>
      <c r="D135" s="91">
        <v>70</v>
      </c>
      <c r="E135" s="245">
        <f t="shared" si="5"/>
        <v>280</v>
      </c>
      <c r="I135" s="36" t="s">
        <v>357</v>
      </c>
      <c r="S135" s="4"/>
    </row>
    <row r="136" spans="1:19" ht="12.75" customHeight="1" x14ac:dyDescent="0.2">
      <c r="A136" s="199"/>
      <c r="B136" s="40"/>
      <c r="C136" s="68"/>
      <c r="D136" s="91">
        <v>0</v>
      </c>
      <c r="E136" s="245">
        <f t="shared" si="5"/>
        <v>0</v>
      </c>
      <c r="H136" s="322"/>
      <c r="S136" s="4"/>
    </row>
    <row r="137" spans="1:19" ht="12.75" customHeight="1" x14ac:dyDescent="0.2">
      <c r="A137" s="199"/>
      <c r="B137" s="40"/>
      <c r="C137" s="68"/>
      <c r="D137" s="91">
        <v>0</v>
      </c>
      <c r="E137" s="245">
        <f t="shared" si="5"/>
        <v>0</v>
      </c>
      <c r="H137" s="323"/>
      <c r="I137" t="s">
        <v>358</v>
      </c>
      <c r="S137" s="4"/>
    </row>
    <row r="138" spans="1:19" ht="12.75" customHeight="1" x14ac:dyDescent="0.2">
      <c r="A138" s="199"/>
      <c r="B138" s="40"/>
      <c r="C138" s="68"/>
      <c r="D138" s="91">
        <v>0</v>
      </c>
      <c r="E138" s="245">
        <f t="shared" si="5"/>
        <v>0</v>
      </c>
      <c r="I138" s="323" t="s">
        <v>359</v>
      </c>
      <c r="S138" s="4"/>
    </row>
    <row r="139" spans="1:19" ht="12.75" customHeight="1" x14ac:dyDescent="0.2">
      <c r="A139" s="199"/>
      <c r="B139" s="40"/>
      <c r="C139" s="68"/>
      <c r="D139" s="91">
        <v>0</v>
      </c>
      <c r="E139" s="245">
        <f t="shared" si="5"/>
        <v>0</v>
      </c>
      <c r="H139" s="322"/>
      <c r="S139" s="4"/>
    </row>
    <row r="140" spans="1:19" ht="12.75" customHeight="1" x14ac:dyDescent="0.2">
      <c r="A140" s="199"/>
      <c r="B140" s="295"/>
      <c r="C140" s="68"/>
      <c r="D140" s="90">
        <v>0</v>
      </c>
      <c r="E140" s="245">
        <f t="shared" si="5"/>
        <v>0</v>
      </c>
      <c r="H140" s="323"/>
      <c r="I140" s="322" t="s">
        <v>337</v>
      </c>
      <c r="S140" s="4"/>
    </row>
    <row r="141" spans="1:19" ht="12.75" customHeight="1" x14ac:dyDescent="0.2">
      <c r="A141" s="168" t="s">
        <v>221</v>
      </c>
      <c r="B141" s="132"/>
      <c r="C141" s="293"/>
      <c r="D141" s="297"/>
      <c r="E141" s="298">
        <f>SUM(E133:E140)</f>
        <v>424</v>
      </c>
      <c r="I141" s="323" t="s">
        <v>338</v>
      </c>
      <c r="S141" s="4"/>
    </row>
    <row r="142" spans="1:19" ht="12.75" customHeight="1" x14ac:dyDescent="0.2">
      <c r="A142" s="40"/>
      <c r="B142" s="40"/>
      <c r="C142" s="42"/>
      <c r="D142" s="164"/>
      <c r="E142" s="93"/>
      <c r="S142" s="4"/>
    </row>
    <row r="143" spans="1:19" ht="12.75" customHeight="1" x14ac:dyDescent="0.2">
      <c r="A143" s="198" t="s">
        <v>271</v>
      </c>
      <c r="B143" s="7" t="s">
        <v>311</v>
      </c>
      <c r="C143" s="225" t="s">
        <v>268</v>
      </c>
      <c r="D143" s="226" t="s">
        <v>267</v>
      </c>
      <c r="E143" s="7" t="s">
        <v>240</v>
      </c>
      <c r="I143" s="322" t="s">
        <v>339</v>
      </c>
      <c r="S143" s="4"/>
    </row>
    <row r="144" spans="1:19" ht="12.75" customHeight="1" x14ac:dyDescent="0.2">
      <c r="A144" s="199"/>
      <c r="B144" s="207"/>
      <c r="C144" s="68"/>
      <c r="D144" s="90">
        <v>0</v>
      </c>
      <c r="E144" s="245">
        <f t="shared" ref="E144:E145" si="6">IFERROR((D144/C144)*B144,0)</f>
        <v>0</v>
      </c>
      <c r="I144" s="323" t="s">
        <v>356</v>
      </c>
      <c r="S144" s="4"/>
    </row>
    <row r="145" spans="1:19" ht="12.75" customHeight="1" x14ac:dyDescent="0.2">
      <c r="A145" s="199"/>
      <c r="B145" s="207"/>
      <c r="C145" s="68"/>
      <c r="D145" s="91">
        <v>0</v>
      </c>
      <c r="E145" s="245">
        <f t="shared" si="6"/>
        <v>0</v>
      </c>
      <c r="S145" s="4"/>
    </row>
    <row r="146" spans="1:19" ht="12.75" customHeight="1" x14ac:dyDescent="0.2">
      <c r="A146" s="199"/>
      <c r="B146" s="207"/>
      <c r="C146" s="68"/>
      <c r="D146" s="91">
        <v>0</v>
      </c>
      <c r="E146" s="245">
        <f>IFERROR((D146/C146)*B146,0)</f>
        <v>0</v>
      </c>
      <c r="S146" s="4"/>
    </row>
    <row r="147" spans="1:19" ht="12.75" customHeight="1" x14ac:dyDescent="0.2">
      <c r="A147" s="199"/>
      <c r="B147" s="207"/>
      <c r="C147" s="68"/>
      <c r="D147" s="91">
        <v>0</v>
      </c>
      <c r="E147" s="245">
        <f t="shared" ref="E147:E151" si="7">IFERROR((D147/C147)*B147,0)</f>
        <v>0</v>
      </c>
      <c r="S147" s="4"/>
    </row>
    <row r="148" spans="1:19" ht="12.75" customHeight="1" x14ac:dyDescent="0.2">
      <c r="A148" s="199"/>
      <c r="B148" s="207"/>
      <c r="C148" s="68"/>
      <c r="D148" s="91">
        <v>0</v>
      </c>
      <c r="E148" s="245">
        <f t="shared" si="7"/>
        <v>0</v>
      </c>
      <c r="S148" s="4"/>
    </row>
    <row r="149" spans="1:19" ht="12.75" customHeight="1" x14ac:dyDescent="0.2">
      <c r="A149" s="199"/>
      <c r="B149" s="207"/>
      <c r="C149" s="68"/>
      <c r="D149" s="91">
        <v>0</v>
      </c>
      <c r="E149" s="245">
        <f t="shared" si="7"/>
        <v>0</v>
      </c>
      <c r="S149" s="4"/>
    </row>
    <row r="150" spans="1:19" ht="12.75" customHeight="1" x14ac:dyDescent="0.2">
      <c r="A150" s="230"/>
      <c r="B150" s="207"/>
      <c r="C150" s="77"/>
      <c r="D150" s="174">
        <v>0</v>
      </c>
      <c r="E150" s="245">
        <f t="shared" si="7"/>
        <v>0</v>
      </c>
      <c r="S150" s="4"/>
    </row>
    <row r="151" spans="1:19" ht="12.75" customHeight="1" x14ac:dyDescent="0.2">
      <c r="A151" s="199"/>
      <c r="B151" s="207"/>
      <c r="C151" s="68"/>
      <c r="D151" s="90">
        <v>0</v>
      </c>
      <c r="E151" s="245">
        <f t="shared" si="7"/>
        <v>0</v>
      </c>
      <c r="S151" s="4"/>
    </row>
    <row r="152" spans="1:19" ht="12.75" customHeight="1" x14ac:dyDescent="0.2">
      <c r="A152" s="302" t="s">
        <v>222</v>
      </c>
      <c r="B152" s="303"/>
      <c r="C152" s="304"/>
      <c r="D152" s="305"/>
      <c r="E152" s="250">
        <f>SUM(E144:E151)</f>
        <v>0</v>
      </c>
      <c r="S152" s="4"/>
    </row>
    <row r="153" spans="1:19" ht="12.75" customHeight="1" x14ac:dyDescent="0.2">
      <c r="A153" s="40"/>
      <c r="B153" s="40"/>
      <c r="C153" s="42"/>
      <c r="D153" s="164"/>
      <c r="E153" s="93"/>
      <c r="S153" s="4"/>
    </row>
    <row r="154" spans="1:19" ht="12.75" customHeight="1" x14ac:dyDescent="0.2">
      <c r="A154" s="260" t="s">
        <v>309</v>
      </c>
      <c r="B154" s="40"/>
      <c r="C154" s="225" t="s">
        <v>310</v>
      </c>
      <c r="D154" s="234" t="s">
        <v>301</v>
      </c>
      <c r="E154" s="93"/>
      <c r="S154" s="4"/>
    </row>
    <row r="155" spans="1:19" ht="12.75" customHeight="1" x14ac:dyDescent="0.2">
      <c r="A155" s="199"/>
      <c r="B155" s="40"/>
      <c r="C155" s="68"/>
      <c r="D155" s="90">
        <v>0</v>
      </c>
      <c r="E155" s="245">
        <f>C155*D155</f>
        <v>0</v>
      </c>
      <c r="S155" s="4"/>
    </row>
    <row r="156" spans="1:19" ht="12.75" customHeight="1" x14ac:dyDescent="0.2">
      <c r="A156" s="199" t="s">
        <v>160</v>
      </c>
      <c r="B156" s="40"/>
      <c r="C156" s="68"/>
      <c r="D156" s="91">
        <v>0</v>
      </c>
      <c r="E156" s="245">
        <f t="shared" ref="E156:E161" si="8">C156*D156</f>
        <v>0</v>
      </c>
      <c r="S156" s="4"/>
    </row>
    <row r="157" spans="1:19" ht="12.75" customHeight="1" x14ac:dyDescent="0.2">
      <c r="A157" s="199"/>
      <c r="B157" s="40"/>
      <c r="C157" s="68"/>
      <c r="D157" s="91">
        <v>0</v>
      </c>
      <c r="E157" s="245">
        <f t="shared" si="8"/>
        <v>0</v>
      </c>
      <c r="S157" s="4"/>
    </row>
    <row r="158" spans="1:19" ht="12.75" customHeight="1" x14ac:dyDescent="0.2">
      <c r="A158" s="199"/>
      <c r="B158" s="40"/>
      <c r="C158" s="68"/>
      <c r="D158" s="91">
        <v>0</v>
      </c>
      <c r="E158" s="245">
        <f t="shared" si="8"/>
        <v>0</v>
      </c>
      <c r="S158" s="4"/>
    </row>
    <row r="159" spans="1:19" ht="12.75" customHeight="1" x14ac:dyDescent="0.2">
      <c r="A159" s="199"/>
      <c r="B159" s="40"/>
      <c r="C159" s="68"/>
      <c r="D159" s="91">
        <v>0</v>
      </c>
      <c r="E159" s="245">
        <f t="shared" si="8"/>
        <v>0</v>
      </c>
      <c r="S159" s="4"/>
    </row>
    <row r="160" spans="1:19" ht="12.75" customHeight="1" x14ac:dyDescent="0.2">
      <c r="A160" s="199"/>
      <c r="B160" s="40"/>
      <c r="C160" s="68"/>
      <c r="D160" s="91">
        <v>0</v>
      </c>
      <c r="E160" s="245">
        <f t="shared" si="8"/>
        <v>0</v>
      </c>
      <c r="S160" s="4"/>
    </row>
    <row r="161" spans="1:19" ht="12.75" customHeight="1" x14ac:dyDescent="0.2">
      <c r="A161" s="199"/>
      <c r="B161" s="295"/>
      <c r="C161" s="68"/>
      <c r="D161" s="90">
        <v>0</v>
      </c>
      <c r="E161" s="245">
        <f t="shared" si="8"/>
        <v>0</v>
      </c>
      <c r="S161" s="4"/>
    </row>
    <row r="162" spans="1:19" ht="12.75" customHeight="1" x14ac:dyDescent="0.2">
      <c r="A162" s="301" t="s">
        <v>223</v>
      </c>
      <c r="B162" s="132"/>
      <c r="C162" s="293"/>
      <c r="D162" s="297"/>
      <c r="E162" s="250">
        <f>SUM(E155:E161)</f>
        <v>0</v>
      </c>
      <c r="S162" s="4"/>
    </row>
    <row r="163" spans="1:19" ht="12.75" customHeight="1" x14ac:dyDescent="0.2">
      <c r="A163" s="40"/>
      <c r="B163" s="40"/>
      <c r="C163" s="42"/>
      <c r="D163" s="164"/>
      <c r="E163" s="93"/>
      <c r="S163" s="4"/>
    </row>
    <row r="164" spans="1:19" ht="12.75" customHeight="1" x14ac:dyDescent="0.2">
      <c r="A164" s="260" t="s">
        <v>273</v>
      </c>
      <c r="B164" s="40"/>
      <c r="C164" s="225" t="s">
        <v>308</v>
      </c>
      <c r="D164" s="226" t="s">
        <v>239</v>
      </c>
      <c r="E164" s="93"/>
      <c r="S164" s="4"/>
    </row>
    <row r="165" spans="1:19" ht="12.75" customHeight="1" x14ac:dyDescent="0.2">
      <c r="A165" s="199"/>
      <c r="B165" s="40"/>
      <c r="C165" s="68"/>
      <c r="D165" s="90">
        <v>0</v>
      </c>
      <c r="E165" s="245">
        <f>C165*D165</f>
        <v>0</v>
      </c>
      <c r="S165" s="4"/>
    </row>
    <row r="166" spans="1:19" ht="12.75" customHeight="1" x14ac:dyDescent="0.2">
      <c r="A166" s="199"/>
      <c r="B166" s="40"/>
      <c r="C166" s="68"/>
      <c r="D166" s="90">
        <v>0</v>
      </c>
      <c r="E166" s="245">
        <f t="shared" ref="E166:E171" si="9">C166*D166</f>
        <v>0</v>
      </c>
      <c r="S166" s="4"/>
    </row>
    <row r="167" spans="1:19" ht="12.75" customHeight="1" x14ac:dyDescent="0.2">
      <c r="A167" s="199"/>
      <c r="B167" s="40"/>
      <c r="C167" s="68"/>
      <c r="D167" s="90">
        <v>0</v>
      </c>
      <c r="E167" s="245">
        <f t="shared" si="9"/>
        <v>0</v>
      </c>
      <c r="S167" s="4"/>
    </row>
    <row r="168" spans="1:19" ht="12.75" customHeight="1" x14ac:dyDescent="0.2">
      <c r="A168" s="199"/>
      <c r="B168" s="40"/>
      <c r="C168" s="68"/>
      <c r="D168" s="90">
        <v>0</v>
      </c>
      <c r="E168" s="245">
        <f t="shared" si="9"/>
        <v>0</v>
      </c>
      <c r="S168" s="4"/>
    </row>
    <row r="169" spans="1:19" ht="12.75" customHeight="1" x14ac:dyDescent="0.2">
      <c r="A169" s="199"/>
      <c r="B169" s="40"/>
      <c r="C169" s="68"/>
      <c r="D169" s="90">
        <v>0</v>
      </c>
      <c r="E169" s="245">
        <f t="shared" si="9"/>
        <v>0</v>
      </c>
      <c r="S169" s="4"/>
    </row>
    <row r="170" spans="1:19" ht="12.75" customHeight="1" x14ac:dyDescent="0.2">
      <c r="A170" s="230"/>
      <c r="B170" s="40"/>
      <c r="C170" s="68"/>
      <c r="D170" s="193">
        <v>0</v>
      </c>
      <c r="E170" s="246">
        <f t="shared" si="9"/>
        <v>0</v>
      </c>
      <c r="S170" s="4"/>
    </row>
    <row r="171" spans="1:19" ht="12.75" customHeight="1" x14ac:dyDescent="0.2">
      <c r="A171" s="199"/>
      <c r="B171" s="295"/>
      <c r="C171" s="68"/>
      <c r="D171" s="90">
        <v>0</v>
      </c>
      <c r="E171" s="245">
        <f t="shared" si="9"/>
        <v>0</v>
      </c>
      <c r="S171" s="4"/>
    </row>
    <row r="172" spans="1:19" ht="12.75" customHeight="1" x14ac:dyDescent="0.2">
      <c r="A172" s="302" t="s">
        <v>224</v>
      </c>
      <c r="B172" s="303"/>
      <c r="C172" s="304"/>
      <c r="D172" s="305"/>
      <c r="E172" s="250">
        <f>SUM(E165:E171)</f>
        <v>0</v>
      </c>
      <c r="S172" s="4"/>
    </row>
    <row r="173" spans="1:19" ht="12.75" customHeight="1" x14ac:dyDescent="0.2">
      <c r="A173" s="40"/>
      <c r="B173" s="40"/>
      <c r="C173" s="42"/>
      <c r="D173" s="164"/>
      <c r="E173" s="93"/>
      <c r="S173" s="4"/>
    </row>
    <row r="174" spans="1:19" ht="12.75" customHeight="1" x14ac:dyDescent="0.2">
      <c r="A174" s="198" t="s">
        <v>34</v>
      </c>
      <c r="B174" s="7" t="s">
        <v>275</v>
      </c>
      <c r="C174" s="225" t="s">
        <v>124</v>
      </c>
      <c r="D174" s="235" t="s">
        <v>253</v>
      </c>
      <c r="E174" s="7" t="s">
        <v>240</v>
      </c>
      <c r="S174" s="4"/>
    </row>
    <row r="175" spans="1:19" ht="12.75" customHeight="1" x14ac:dyDescent="0.2">
      <c r="A175" s="199" t="s">
        <v>134</v>
      </c>
      <c r="B175" s="207">
        <v>15</v>
      </c>
      <c r="C175" s="68">
        <v>0</v>
      </c>
      <c r="D175" s="71">
        <v>4</v>
      </c>
      <c r="E175" s="245">
        <f>((C175*D175)*((C14+C15)/B175))</f>
        <v>0</v>
      </c>
      <c r="S175" s="4"/>
    </row>
    <row r="176" spans="1:19" ht="12.75" customHeight="1" x14ac:dyDescent="0.2">
      <c r="A176" s="230"/>
      <c r="B176" s="207">
        <v>10</v>
      </c>
      <c r="C176" s="77"/>
      <c r="D176" s="174"/>
      <c r="E176" s="246">
        <f>((C176*D176)*(C16/B176))</f>
        <v>0</v>
      </c>
      <c r="S176" s="4"/>
    </row>
    <row r="177" spans="1:19" ht="12.75" customHeight="1" x14ac:dyDescent="0.2">
      <c r="A177" s="146" t="s">
        <v>123</v>
      </c>
      <c r="B177" s="147"/>
      <c r="C177" s="148"/>
      <c r="D177" s="149"/>
      <c r="E177" s="250">
        <f>E141+E152+E162+E172+E175+E176</f>
        <v>424</v>
      </c>
      <c r="S177" s="4"/>
    </row>
    <row r="178" spans="1:19" ht="12.75" customHeight="1" x14ac:dyDescent="0.2">
      <c r="A178" s="110" t="s">
        <v>32</v>
      </c>
      <c r="B178" s="106"/>
      <c r="C178" s="107"/>
      <c r="D178" s="108"/>
      <c r="E178" s="109"/>
      <c r="F178" s="92"/>
      <c r="S178" s="4"/>
    </row>
    <row r="179" spans="1:19" ht="12.75" customHeight="1" x14ac:dyDescent="0.2">
      <c r="A179" s="40"/>
      <c r="B179" s="236" t="s">
        <v>179</v>
      </c>
      <c r="C179" s="236" t="s">
        <v>276</v>
      </c>
      <c r="D179" s="237" t="s">
        <v>277</v>
      </c>
      <c r="E179" s="7" t="s">
        <v>240</v>
      </c>
      <c r="S179" s="4"/>
    </row>
    <row r="180" spans="1:19" ht="12.75" customHeight="1" x14ac:dyDescent="0.2">
      <c r="A180" s="199" t="s">
        <v>212</v>
      </c>
      <c r="B180" s="218">
        <v>1</v>
      </c>
      <c r="C180" s="172">
        <v>260</v>
      </c>
      <c r="D180" s="173">
        <v>1000</v>
      </c>
      <c r="E180" s="274">
        <f>IFERROR(((D180/C180)*($C$14+$C$15))*B180,0)</f>
        <v>38.46153846153846</v>
      </c>
      <c r="S180" s="4"/>
    </row>
    <row r="181" spans="1:19" ht="12.75" customHeight="1" x14ac:dyDescent="0.25">
      <c r="A181" s="199" t="s">
        <v>211</v>
      </c>
      <c r="B181" s="218">
        <v>0</v>
      </c>
      <c r="C181" s="68">
        <v>400</v>
      </c>
      <c r="D181" s="90">
        <v>0</v>
      </c>
      <c r="E181" s="245">
        <f t="shared" ref="E181:E182" si="10">IFERROR(((D181/C181)*($C$14+$C$15))*B181,0)</f>
        <v>0</v>
      </c>
      <c r="H181" s="188" t="s">
        <v>144</v>
      </c>
      <c r="I181" s="177"/>
      <c r="J181" s="177"/>
      <c r="K181" s="177"/>
      <c r="L181" s="178"/>
      <c r="M181" s="179"/>
      <c r="S181" s="4"/>
    </row>
    <row r="182" spans="1:19" ht="12.75" customHeight="1" x14ac:dyDescent="0.25">
      <c r="A182" s="199" t="s">
        <v>181</v>
      </c>
      <c r="B182" s="218"/>
      <c r="C182" s="68"/>
      <c r="D182" s="90"/>
      <c r="E182" s="245">
        <f t="shared" si="10"/>
        <v>0</v>
      </c>
      <c r="H182" s="180" t="s">
        <v>145</v>
      </c>
      <c r="I182" s="181"/>
      <c r="J182" s="181"/>
      <c r="K182" s="182" t="s">
        <v>154</v>
      </c>
      <c r="L182" s="178"/>
      <c r="M182" s="179"/>
      <c r="S182" s="4"/>
    </row>
    <row r="183" spans="1:19" ht="12.75" customHeight="1" x14ac:dyDescent="0.25">
      <c r="A183" s="192"/>
      <c r="B183" s="40" t="s">
        <v>180</v>
      </c>
      <c r="C183" s="134" t="s">
        <v>279</v>
      </c>
      <c r="D183" s="300" t="s">
        <v>278</v>
      </c>
      <c r="E183" s="102"/>
      <c r="H183" s="183" t="s">
        <v>146</v>
      </c>
      <c r="I183" s="181"/>
      <c r="J183" s="181"/>
      <c r="K183" s="181" t="s">
        <v>147</v>
      </c>
      <c r="L183" s="181"/>
      <c r="M183" s="184"/>
      <c r="S183" s="4"/>
    </row>
    <row r="184" spans="1:19" ht="12.75" customHeight="1" x14ac:dyDescent="0.25">
      <c r="A184" s="199" t="s">
        <v>178</v>
      </c>
      <c r="B184" s="207"/>
      <c r="C184" s="68"/>
      <c r="D184" s="90"/>
      <c r="E184" s="245">
        <f>IFERROR(((D184/C184)*($C$14+$C$15))*B184,0)</f>
        <v>0</v>
      </c>
      <c r="H184" s="183" t="s">
        <v>148</v>
      </c>
      <c r="I184" s="181"/>
      <c r="J184" s="181"/>
      <c r="K184" s="181" t="s">
        <v>149</v>
      </c>
      <c r="L184" s="181"/>
      <c r="M184" s="184"/>
      <c r="S184" s="4"/>
    </row>
    <row r="185" spans="1:19" ht="12.75" customHeight="1" x14ac:dyDescent="0.25">
      <c r="A185" s="40"/>
      <c r="B185" s="40"/>
      <c r="C185" s="44"/>
      <c r="D185" s="226" t="s">
        <v>155</v>
      </c>
      <c r="E185" s="7" t="s">
        <v>240</v>
      </c>
      <c r="H185" s="183" t="s">
        <v>150</v>
      </c>
      <c r="I185" s="181"/>
      <c r="J185" s="181"/>
      <c r="K185" s="181" t="s">
        <v>151</v>
      </c>
      <c r="L185" s="181"/>
      <c r="M185" s="184"/>
      <c r="S185" s="4"/>
    </row>
    <row r="186" spans="1:19" ht="12.75" customHeight="1" x14ac:dyDescent="0.25">
      <c r="A186" s="40" t="s">
        <v>213</v>
      </c>
      <c r="B186" s="189"/>
      <c r="C186" s="42"/>
      <c r="D186" s="191">
        <v>0.1</v>
      </c>
      <c r="E186" s="251">
        <f>(E18)*D186</f>
        <v>95</v>
      </c>
      <c r="H186" s="185" t="s">
        <v>152</v>
      </c>
      <c r="I186" s="186"/>
      <c r="J186" s="186"/>
      <c r="K186" s="186" t="s">
        <v>153</v>
      </c>
      <c r="L186" s="186"/>
      <c r="M186" s="187"/>
      <c r="S186" s="4"/>
    </row>
    <row r="187" spans="1:19" ht="12.75" customHeight="1" x14ac:dyDescent="0.2">
      <c r="A187" s="138" t="s">
        <v>104</v>
      </c>
      <c r="B187" s="106"/>
      <c r="C187" s="139"/>
      <c r="D187" s="140"/>
      <c r="E187" s="141"/>
      <c r="F187" s="92"/>
      <c r="H187" s="190" t="s">
        <v>156</v>
      </c>
      <c r="S187" s="4"/>
    </row>
    <row r="188" spans="1:19" ht="12.75" customHeight="1" x14ac:dyDescent="0.2">
      <c r="A188" s="40"/>
      <c r="B188" s="40"/>
      <c r="C188" s="225" t="s">
        <v>125</v>
      </c>
      <c r="D188" s="226" t="s">
        <v>105</v>
      </c>
      <c r="E188" s="54" t="s">
        <v>240</v>
      </c>
      <c r="G188" s="20"/>
      <c r="S188" s="4"/>
    </row>
    <row r="189" spans="1:19" ht="12.75" customHeight="1" x14ac:dyDescent="0.2">
      <c r="A189" s="266" t="s">
        <v>45</v>
      </c>
      <c r="B189" s="267"/>
      <c r="C189" s="167">
        <v>1.5</v>
      </c>
      <c r="D189" s="90">
        <v>25</v>
      </c>
      <c r="E189" s="245">
        <f>C189*D189</f>
        <v>37.5</v>
      </c>
      <c r="S189" s="4"/>
    </row>
    <row r="190" spans="1:19" ht="12.75" customHeight="1" x14ac:dyDescent="0.2">
      <c r="A190" s="40"/>
      <c r="B190" s="40"/>
      <c r="C190" s="42"/>
      <c r="D190" s="43"/>
      <c r="E190" s="10"/>
      <c r="S190" s="4"/>
    </row>
    <row r="191" spans="1:19" ht="12.75" customHeight="1" x14ac:dyDescent="0.2">
      <c r="A191" s="106"/>
      <c r="B191" s="112"/>
      <c r="C191" s="107"/>
      <c r="D191" s="108"/>
      <c r="E191" s="142"/>
      <c r="F191" s="92"/>
    </row>
    <row r="192" spans="1:19" ht="12.75" customHeight="1" x14ac:dyDescent="0.2">
      <c r="A192" s="33" t="s">
        <v>113</v>
      </c>
      <c r="C192" s="231">
        <v>7.4999999999999997E-2</v>
      </c>
      <c r="E192" s="241">
        <f>(C192*0.67)*(E116+(0.2*E130))</f>
        <v>20.710537500000001</v>
      </c>
      <c r="G192" s="86" t="s">
        <v>59</v>
      </c>
      <c r="H192" s="87"/>
      <c r="I192" s="87"/>
      <c r="J192" s="87"/>
      <c r="K192" s="87"/>
      <c r="L192" s="88"/>
    </row>
    <row r="193" spans="1:13" ht="12.75" customHeight="1" x14ac:dyDescent="0.2">
      <c r="A193" s="15"/>
      <c r="E193" s="6"/>
      <c r="G193" s="4"/>
      <c r="H193" s="4"/>
      <c r="I193" s="45"/>
      <c r="J193" s="45"/>
      <c r="K193" s="4"/>
      <c r="L193" s="45"/>
      <c r="M193" s="45"/>
    </row>
    <row r="194" spans="1:13" ht="12.75" customHeight="1" x14ac:dyDescent="0.2">
      <c r="A194" s="33" t="s">
        <v>85</v>
      </c>
      <c r="B194" s="4"/>
      <c r="C194" s="44"/>
      <c r="D194" s="43"/>
      <c r="E194" s="243">
        <f>E18*0.05</f>
        <v>47.5</v>
      </c>
    </row>
    <row r="195" spans="1:13" ht="12.75" customHeight="1" x14ac:dyDescent="0.2">
      <c r="A195" s="20" t="s">
        <v>231</v>
      </c>
      <c r="C195" s="16"/>
      <c r="E195" s="243">
        <f>E116+E130+E177+E180+E181+E182+E184+E189+E192</f>
        <v>932.82207596153842</v>
      </c>
    </row>
    <row r="196" spans="1:13" ht="12.75" customHeight="1" x14ac:dyDescent="0.2">
      <c r="A196" s="20" t="s">
        <v>230</v>
      </c>
      <c r="D196" s="16"/>
      <c r="E196" s="243">
        <f>E18-E195</f>
        <v>17.177924038461583</v>
      </c>
    </row>
    <row r="197" spans="1:13" ht="14.25" x14ac:dyDescent="0.2">
      <c r="A197" s="21"/>
      <c r="C197" s="54"/>
      <c r="D197" s="54"/>
      <c r="E197" s="55"/>
    </row>
    <row r="198" spans="1:13" x14ac:dyDescent="0.2">
      <c r="A198" s="33" t="s">
        <v>218</v>
      </c>
      <c r="B198" s="4"/>
      <c r="C198" s="42"/>
      <c r="D198" s="53"/>
      <c r="E198" s="252">
        <f>E195/(C14+C15)</f>
        <v>93.282207596153839</v>
      </c>
    </row>
    <row r="199" spans="1:13" x14ac:dyDescent="0.2">
      <c r="A199" s="20" t="s">
        <v>219</v>
      </c>
      <c r="B199" s="4"/>
      <c r="E199" s="243">
        <f>E195/(C16+C17)</f>
        <v>186.56441519230768</v>
      </c>
    </row>
    <row r="200" spans="1:13" x14ac:dyDescent="0.2">
      <c r="B200" s="4"/>
    </row>
    <row r="201" spans="1:13" x14ac:dyDescent="0.2">
      <c r="C201" s="355" t="s">
        <v>26</v>
      </c>
      <c r="D201" s="356"/>
      <c r="E201" s="356"/>
      <c r="F201" s="356"/>
      <c r="G201" s="357"/>
    </row>
    <row r="202" spans="1:13" x14ac:dyDescent="0.2">
      <c r="C202" s="74"/>
      <c r="D202" s="75"/>
      <c r="E202" s="75"/>
      <c r="F202" s="75"/>
      <c r="G202" s="76"/>
    </row>
    <row r="203" spans="1:13" x14ac:dyDescent="0.2">
      <c r="C203" s="355" t="s">
        <v>398</v>
      </c>
      <c r="D203" s="356"/>
      <c r="E203" s="356"/>
      <c r="F203" s="356"/>
      <c r="G203" s="357"/>
    </row>
    <row r="204" spans="1:13" x14ac:dyDescent="0.2">
      <c r="A204" s="358" t="s">
        <v>24</v>
      </c>
      <c r="B204" s="359"/>
      <c r="C204" s="23"/>
      <c r="D204" s="23"/>
      <c r="E204" s="23"/>
      <c r="F204" s="23"/>
      <c r="G204" s="23"/>
    </row>
    <row r="205" spans="1:13" x14ac:dyDescent="0.2">
      <c r="A205" s="258" t="s">
        <v>27</v>
      </c>
      <c r="B205" s="259" t="s">
        <v>302</v>
      </c>
      <c r="C205" s="355" t="s">
        <v>26</v>
      </c>
      <c r="D205" s="356"/>
      <c r="E205" s="356"/>
      <c r="F205" s="356"/>
      <c r="G205" s="357"/>
    </row>
    <row r="206" spans="1:13" x14ac:dyDescent="0.2">
      <c r="A206" s="24" t="s">
        <v>21</v>
      </c>
      <c r="B206" s="349">
        <f>C14*1.2</f>
        <v>12</v>
      </c>
      <c r="C206" s="347">
        <f>(($C$211*$B206)+$E$15)-$E$195</f>
        <v>-20.822075961538417</v>
      </c>
      <c r="D206" s="347">
        <f>(($D$211*$B206)+$E$15)-$E$195</f>
        <v>93.177924038461583</v>
      </c>
      <c r="E206" s="347">
        <f>(($E$211*$B206)+$E$15)-$E$195</f>
        <v>207.17792403846158</v>
      </c>
      <c r="F206" s="347">
        <f>(($F$211*$B206)+$E$15)-$E$195</f>
        <v>321.17792403846181</v>
      </c>
      <c r="G206" s="347">
        <f>(($G$211*$B206)+$E$15)-$E$195</f>
        <v>435.17792403846158</v>
      </c>
    </row>
    <row r="207" spans="1:13" x14ac:dyDescent="0.2">
      <c r="A207" s="24" t="s">
        <v>20</v>
      </c>
      <c r="B207" s="349">
        <f>C14*1.1</f>
        <v>11</v>
      </c>
      <c r="C207" s="347">
        <f>(($C$211*$B207)+$E$15)-$E$195</f>
        <v>-96.822075961538417</v>
      </c>
      <c r="D207" s="347">
        <f>(($D$211*$B207)+$E$15)-$E$195</f>
        <v>7.6779240384615832</v>
      </c>
      <c r="E207" s="347">
        <f>(($E$211*$B207)+$E$15)-$E$195</f>
        <v>112.17792403846158</v>
      </c>
      <c r="F207" s="347">
        <f>(($F$211*$B207)+$E$15)-$E$195</f>
        <v>216.67792403846181</v>
      </c>
      <c r="G207" s="347">
        <f>(($G$211*$B207)+$E$15)-$E$195</f>
        <v>321.17792403846158</v>
      </c>
    </row>
    <row r="208" spans="1:13" x14ac:dyDescent="0.2">
      <c r="A208" s="22"/>
      <c r="B208" s="349">
        <f>C14</f>
        <v>10</v>
      </c>
      <c r="C208" s="347">
        <f>(($C$211*$B208)+$E$15)-$E$195</f>
        <v>-172.82207596153842</v>
      </c>
      <c r="D208" s="347">
        <f>(($D$211*$B208)+$E$15)-$E$195</f>
        <v>-77.822075961538417</v>
      </c>
      <c r="E208" s="348">
        <f>(($E$211*$B208)+$E$15)-$E$195</f>
        <v>17.177924038461583</v>
      </c>
      <c r="F208" s="347">
        <f>(($F$211*$B208)+$E$15)-$E$195</f>
        <v>112.17792403846181</v>
      </c>
      <c r="G208" s="347">
        <f>(($G$211*$B208)+$E$15)-$E$195</f>
        <v>207.17792403846158</v>
      </c>
    </row>
    <row r="209" spans="1:7" x14ac:dyDescent="0.2">
      <c r="A209" s="24" t="s">
        <v>22</v>
      </c>
      <c r="B209" s="349">
        <f>C14*0.9</f>
        <v>9</v>
      </c>
      <c r="C209" s="347">
        <f>(($C$211*$B209)+$E$15)-$E$195</f>
        <v>-248.82207596153842</v>
      </c>
      <c r="D209" s="347">
        <f>(($D$211*$B209)+$E$15)-$E$195</f>
        <v>-163.32207596153842</v>
      </c>
      <c r="E209" s="347">
        <f>(($E$211*$B209)+$E$15)-$E$195</f>
        <v>-77.822075961538417</v>
      </c>
      <c r="F209" s="347">
        <f>(($F$211*$B209)+$E$15)-$E$195</f>
        <v>7.6779240384616969</v>
      </c>
      <c r="G209" s="347">
        <f>(($G$211*$B209)+$E$15)-$E$195</f>
        <v>93.177924038461583</v>
      </c>
    </row>
    <row r="210" spans="1:7" x14ac:dyDescent="0.2">
      <c r="A210" s="24" t="s">
        <v>23</v>
      </c>
      <c r="B210" s="349">
        <f>C14*0.8</f>
        <v>8</v>
      </c>
      <c r="C210" s="347">
        <f>(($C$211*$B210)+$E$15)-$E$195</f>
        <v>-324.82207596153842</v>
      </c>
      <c r="D210" s="347">
        <f>(($D$211*$B210)+$E$15)-$E$195</f>
        <v>-248.82207596153842</v>
      </c>
      <c r="E210" s="347">
        <f>(($E$211*$B210)+$E$15)-$E$195</f>
        <v>-172.82207596153842</v>
      </c>
      <c r="F210" s="347">
        <f>(($F$211*$B210)+$E$15)-$E$195</f>
        <v>-96.822075961538303</v>
      </c>
      <c r="G210" s="347">
        <f>(($G$211*$B210)+$E$15)-$E$195</f>
        <v>-20.822075961538417</v>
      </c>
    </row>
    <row r="211" spans="1:7" x14ac:dyDescent="0.2">
      <c r="A211" s="257" t="s">
        <v>414</v>
      </c>
      <c r="B211" s="253"/>
      <c r="C211" s="254">
        <f>D14*0.8</f>
        <v>76</v>
      </c>
      <c r="D211" s="254">
        <f>D14*0.9</f>
        <v>85.5</v>
      </c>
      <c r="E211" s="254">
        <f>D14</f>
        <v>95</v>
      </c>
      <c r="F211" s="254">
        <f>D14*1.1</f>
        <v>104.50000000000001</v>
      </c>
      <c r="G211" s="254">
        <f>D14*1.2</f>
        <v>114</v>
      </c>
    </row>
    <row r="212" spans="1:7" x14ac:dyDescent="0.2">
      <c r="A212" s="257" t="s">
        <v>19</v>
      </c>
      <c r="B212" s="253"/>
      <c r="C212" s="255" t="s">
        <v>23</v>
      </c>
      <c r="D212" s="255" t="s">
        <v>22</v>
      </c>
      <c r="E212" s="256"/>
      <c r="F212" s="255" t="s">
        <v>20</v>
      </c>
      <c r="G212" s="255" t="s">
        <v>21</v>
      </c>
    </row>
  </sheetData>
  <sheetProtection algorithmName="SHA-512" hashValue="hGoPWUMWK9Z5ZZHwGUPfcrNfL0+BzHTQ3Ct5z5dUUOeUfOcxSP2rtGDzO3Fw/QDLp0V8xE/axGj/yIHawfrkXQ==" saltValue="90XlhaJGBCQ9t6dHOh7j+g==" spinCount="100000" sheet="1" objects="1" scenarios="1"/>
  <mergeCells count="4">
    <mergeCell ref="C201:G201"/>
    <mergeCell ref="C203:G203"/>
    <mergeCell ref="A204:B204"/>
    <mergeCell ref="C205:G205"/>
  </mergeCells>
  <hyperlinks>
    <hyperlink ref="I134" r:id="rId1" xr:uid="{00000000-0004-0000-0800-000000000000}"/>
    <hyperlink ref="I141" r:id="rId2" xr:uid="{00000000-0004-0000-0800-000001000000}"/>
    <hyperlink ref="I135" r:id="rId3" xr:uid="{00000000-0004-0000-0800-000002000000}"/>
    <hyperlink ref="I138" r:id="rId4" xr:uid="{00000000-0004-0000-0800-000003000000}"/>
  </hyperlinks>
  <pageMargins left="0.7" right="0.7" top="0.75" bottom="0.75" header="0.3" footer="0.3"/>
  <pageSetup scale="40" fitToHeight="0" orientation="portrait" verticalDpi="0"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S212"/>
  <sheetViews>
    <sheetView topLeftCell="A3" workbookViewId="0">
      <selection activeCell="E14" sqref="E14"/>
    </sheetView>
  </sheetViews>
  <sheetFormatPr defaultColWidth="8.42578125" defaultRowHeight="12.75" x14ac:dyDescent="0.2"/>
  <cols>
    <col min="1" max="1" width="26.7109375" customWidth="1"/>
    <col min="2" max="2" width="17.85546875" customWidth="1"/>
    <col min="3" max="3" width="17.42578125" customWidth="1"/>
    <col min="4" max="4" width="15.140625" customWidth="1"/>
    <col min="5" max="5" width="11.28515625" customWidth="1"/>
    <col min="6" max="6" width="11" customWidth="1"/>
    <col min="7" max="7" width="13.42578125" customWidth="1"/>
    <col min="8" max="9" width="7.42578125" customWidth="1"/>
    <col min="10" max="10" width="8.42578125" customWidth="1"/>
    <col min="11" max="11" width="8" customWidth="1"/>
    <col min="12" max="12" width="13.7109375" customWidth="1"/>
  </cols>
  <sheetData>
    <row r="1" spans="1:14" ht="15.75" customHeight="1" x14ac:dyDescent="0.2">
      <c r="A1" s="20" t="s">
        <v>29</v>
      </c>
      <c r="E1" s="36"/>
    </row>
    <row r="2" spans="1:14" ht="8.25" customHeight="1" x14ac:dyDescent="0.2"/>
    <row r="3" spans="1:14" ht="15" customHeight="1" x14ac:dyDescent="0.2"/>
    <row r="4" spans="1:14" ht="8.25" customHeight="1" x14ac:dyDescent="0.2"/>
    <row r="5" spans="1:14" ht="18.75" customHeight="1" x14ac:dyDescent="0.25">
      <c r="A5" s="2" t="s">
        <v>329</v>
      </c>
      <c r="D5" s="19"/>
      <c r="E5" s="197"/>
    </row>
    <row r="6" spans="1:14" ht="5.25" customHeight="1" x14ac:dyDescent="0.2"/>
    <row r="7" spans="1:14" x14ac:dyDescent="0.2">
      <c r="A7" s="17" t="s">
        <v>83</v>
      </c>
      <c r="E7" s="67"/>
      <c r="I7" s="38"/>
    </row>
    <row r="8" spans="1:14" x14ac:dyDescent="0.2">
      <c r="A8" s="17" t="s">
        <v>228</v>
      </c>
      <c r="E8" s="242"/>
    </row>
    <row r="9" spans="1:14" x14ac:dyDescent="0.2">
      <c r="A9" s="17" t="s">
        <v>71</v>
      </c>
      <c r="E9" s="79"/>
    </row>
    <row r="10" spans="1:14" x14ac:dyDescent="0.2">
      <c r="A10" s="17"/>
      <c r="C10" s="3"/>
    </row>
    <row r="11" spans="1:14" ht="18" x14ac:dyDescent="0.25">
      <c r="A11" s="2" t="s">
        <v>343</v>
      </c>
      <c r="B11" s="345" t="s">
        <v>421</v>
      </c>
      <c r="C11" s="329"/>
    </row>
    <row r="12" spans="1:14" x14ac:dyDescent="0.2">
      <c r="A12" s="119" t="s">
        <v>37</v>
      </c>
      <c r="B12" s="117"/>
      <c r="C12" s="118"/>
      <c r="D12" s="117"/>
      <c r="E12" s="117"/>
      <c r="F12" s="92"/>
    </row>
    <row r="13" spans="1:14" x14ac:dyDescent="0.2">
      <c r="A13" s="17"/>
      <c r="B13" s="7" t="s">
        <v>306</v>
      </c>
      <c r="C13" s="54" t="s">
        <v>307</v>
      </c>
      <c r="D13" s="7" t="s">
        <v>239</v>
      </c>
      <c r="E13" s="7" t="s">
        <v>236</v>
      </c>
      <c r="H13" s="17" t="s">
        <v>170</v>
      </c>
      <c r="I13" s="17"/>
      <c r="J13" s="17"/>
      <c r="K13" s="17"/>
    </row>
    <row r="14" spans="1:14" x14ac:dyDescent="0.2">
      <c r="A14" s="20" t="s">
        <v>216</v>
      </c>
      <c r="B14" s="275">
        <v>0.15</v>
      </c>
      <c r="C14" s="167">
        <v>1.9</v>
      </c>
      <c r="D14" s="124">
        <v>165</v>
      </c>
      <c r="E14" s="241">
        <f>C14*D14</f>
        <v>313.5</v>
      </c>
      <c r="H14" s="20" t="s">
        <v>186</v>
      </c>
      <c r="L14" s="124">
        <v>165</v>
      </c>
      <c r="N14" s="20" t="s">
        <v>187</v>
      </c>
    </row>
    <row r="15" spans="1:14" x14ac:dyDescent="0.2">
      <c r="A15" s="20" t="s">
        <v>217</v>
      </c>
      <c r="B15" s="275">
        <v>0.2</v>
      </c>
      <c r="C15" s="167">
        <v>1</v>
      </c>
      <c r="D15" s="124">
        <v>85</v>
      </c>
      <c r="E15" s="241">
        <f>C15*D15</f>
        <v>85</v>
      </c>
      <c r="H15" s="20" t="s">
        <v>184</v>
      </c>
      <c r="L15" s="330">
        <v>0.5</v>
      </c>
    </row>
    <row r="16" spans="1:14" x14ac:dyDescent="0.2">
      <c r="A16" s="20" t="s">
        <v>214</v>
      </c>
      <c r="C16" s="299">
        <f>C14*(1-B14)</f>
        <v>1.615</v>
      </c>
      <c r="E16" s="232"/>
      <c r="H16" s="20" t="s">
        <v>185</v>
      </c>
      <c r="L16" s="241">
        <f>(L14/0.87)*(1-L15)</f>
        <v>94.827586206896555</v>
      </c>
    </row>
    <row r="17" spans="1:18" x14ac:dyDescent="0.2">
      <c r="A17" s="20" t="s">
        <v>215</v>
      </c>
      <c r="C17" s="299">
        <f>C15*(1-B15)</f>
        <v>0.8</v>
      </c>
      <c r="E17" s="232"/>
      <c r="H17" s="20"/>
      <c r="L17" s="233"/>
    </row>
    <row r="18" spans="1:18" x14ac:dyDescent="0.2">
      <c r="A18" s="152" t="s">
        <v>199</v>
      </c>
      <c r="B18" s="159"/>
      <c r="C18" s="157"/>
      <c r="D18" s="159"/>
      <c r="E18" s="243">
        <f>SUM(E14:E15)</f>
        <v>398.5</v>
      </c>
    </row>
    <row r="19" spans="1:18" x14ac:dyDescent="0.2">
      <c r="A19" s="119" t="s">
        <v>40</v>
      </c>
      <c r="B19" s="120"/>
      <c r="C19" s="121"/>
      <c r="D19" s="120"/>
      <c r="E19" s="120"/>
      <c r="F19" s="122"/>
    </row>
    <row r="20" spans="1:18" ht="12" customHeight="1" x14ac:dyDescent="0.2">
      <c r="A20" s="17"/>
      <c r="B20" s="4"/>
      <c r="C20" s="3"/>
      <c r="D20" s="4"/>
      <c r="E20" s="4"/>
    </row>
    <row r="21" spans="1:18" x14ac:dyDescent="0.2">
      <c r="A21" s="111" t="s">
        <v>4</v>
      </c>
      <c r="B21" s="92"/>
      <c r="C21" s="112"/>
      <c r="D21" s="112"/>
      <c r="E21" s="112"/>
      <c r="F21" s="92"/>
    </row>
    <row r="22" spans="1:18" ht="15" customHeight="1" x14ac:dyDescent="0.2">
      <c r="A22" s="98" t="s">
        <v>88</v>
      </c>
      <c r="B22" s="99"/>
      <c r="C22" s="100"/>
      <c r="D22" s="100"/>
      <c r="E22" s="100"/>
      <c r="F22" s="97"/>
      <c r="H22" s="17"/>
      <c r="J22" s="17"/>
      <c r="M22" s="20"/>
    </row>
    <row r="23" spans="1:18" x14ac:dyDescent="0.2">
      <c r="A23" s="33"/>
      <c r="B23" s="7" t="s">
        <v>237</v>
      </c>
      <c r="C23" s="7" t="s">
        <v>238</v>
      </c>
      <c r="D23" s="7" t="s">
        <v>239</v>
      </c>
      <c r="E23" s="7" t="s">
        <v>240</v>
      </c>
      <c r="G23" s="65"/>
      <c r="H23" s="17"/>
      <c r="J23" s="17"/>
      <c r="K23" s="17"/>
      <c r="M23" s="20"/>
    </row>
    <row r="24" spans="1:18" x14ac:dyDescent="0.2">
      <c r="A24" s="39" t="s">
        <v>303</v>
      </c>
      <c r="B24" s="207"/>
      <c r="C24" s="78">
        <v>0</v>
      </c>
      <c r="D24" s="90">
        <v>0</v>
      </c>
      <c r="E24" s="244">
        <f>((D24/2000)*B24*C24)</f>
        <v>0</v>
      </c>
      <c r="G24" s="48"/>
      <c r="H24" s="6"/>
      <c r="I24" s="48"/>
      <c r="J24" s="6"/>
      <c r="O24" s="20"/>
      <c r="P24" s="20"/>
      <c r="Q24" s="20"/>
      <c r="R24" s="20"/>
    </row>
    <row r="25" spans="1:18" x14ac:dyDescent="0.2">
      <c r="A25" s="39"/>
      <c r="B25" s="40"/>
      <c r="C25" s="47"/>
      <c r="D25" s="10"/>
      <c r="E25" s="46"/>
      <c r="G25" s="48"/>
      <c r="H25" s="6"/>
      <c r="I25" s="48"/>
      <c r="J25" s="6"/>
      <c r="O25" s="20"/>
      <c r="P25" s="20"/>
      <c r="Q25" s="20"/>
      <c r="R25" s="20"/>
    </row>
    <row r="26" spans="1:18" x14ac:dyDescent="0.2">
      <c r="A26" s="33"/>
      <c r="C26" s="7" t="s">
        <v>87</v>
      </c>
      <c r="D26" s="7" t="s">
        <v>239</v>
      </c>
      <c r="E26" s="7" t="s">
        <v>240</v>
      </c>
      <c r="G26" s="65"/>
      <c r="H26" s="17"/>
      <c r="J26" s="17"/>
      <c r="K26" s="17"/>
      <c r="M26" s="20"/>
    </row>
    <row r="27" spans="1:18" x14ac:dyDescent="0.2">
      <c r="A27" s="208" t="s">
        <v>171</v>
      </c>
      <c r="B27" s="4"/>
      <c r="C27" s="68">
        <v>100</v>
      </c>
      <c r="D27" s="90">
        <v>520</v>
      </c>
      <c r="E27" s="245">
        <f>C27*(D27/2000)</f>
        <v>26</v>
      </c>
      <c r="G27" s="5"/>
      <c r="H27" s="1"/>
      <c r="J27" s="56"/>
    </row>
    <row r="28" spans="1:18" x14ac:dyDescent="0.2">
      <c r="A28" s="208" t="s">
        <v>66</v>
      </c>
      <c r="B28" s="4"/>
      <c r="C28" s="77"/>
      <c r="D28" s="90">
        <v>0</v>
      </c>
      <c r="E28" s="246">
        <f>C28*(D28/2000)</f>
        <v>0</v>
      </c>
      <c r="G28" s="5"/>
      <c r="H28" s="1"/>
      <c r="J28" s="56"/>
    </row>
    <row r="29" spans="1:18" x14ac:dyDescent="0.2">
      <c r="A29" s="209" t="s">
        <v>66</v>
      </c>
      <c r="B29" s="4"/>
      <c r="C29" s="77"/>
      <c r="D29" s="193"/>
      <c r="E29" s="246">
        <f>C29*(D29/2000)</f>
        <v>0</v>
      </c>
      <c r="G29" s="5"/>
      <c r="H29" s="1"/>
      <c r="J29" s="56"/>
    </row>
    <row r="30" spans="1:18" x14ac:dyDescent="0.2">
      <c r="A30" s="208"/>
      <c r="B30" s="4"/>
      <c r="C30" s="68"/>
      <c r="D30" s="90"/>
      <c r="E30" s="245">
        <f>C30*(D30/2000)</f>
        <v>0</v>
      </c>
      <c r="G30" s="5"/>
      <c r="H30" s="1"/>
      <c r="J30" s="56"/>
    </row>
    <row r="31" spans="1:18" x14ac:dyDescent="0.2">
      <c r="A31" s="94"/>
      <c r="B31" s="4"/>
      <c r="C31" s="42"/>
      <c r="D31" s="93"/>
      <c r="E31" s="93"/>
      <c r="G31" s="5"/>
      <c r="H31" s="1"/>
      <c r="J31" s="56"/>
    </row>
    <row r="32" spans="1:18" ht="14.25" customHeight="1" x14ac:dyDescent="0.2">
      <c r="A32" s="95" t="s">
        <v>135</v>
      </c>
      <c r="B32" s="96"/>
      <c r="C32" s="160"/>
      <c r="D32" s="161"/>
      <c r="E32" s="161"/>
      <c r="F32" s="97"/>
    </row>
    <row r="33" spans="1:12" ht="14.25" customHeight="1" x14ac:dyDescent="0.2">
      <c r="A33" s="48" t="s">
        <v>304</v>
      </c>
      <c r="C33" s="219" t="s">
        <v>68</v>
      </c>
      <c r="D33" s="7" t="s">
        <v>69</v>
      </c>
      <c r="E33" s="7" t="s">
        <v>240</v>
      </c>
    </row>
    <row r="34" spans="1:12" ht="14.25" customHeight="1" x14ac:dyDescent="0.2">
      <c r="A34" s="201" t="s">
        <v>14</v>
      </c>
      <c r="B34" s="40"/>
      <c r="C34" s="68">
        <v>0</v>
      </c>
      <c r="D34" s="90">
        <v>0.6</v>
      </c>
      <c r="E34" s="245">
        <f>C34*D34</f>
        <v>0</v>
      </c>
    </row>
    <row r="35" spans="1:12" ht="14.25" customHeight="1" x14ac:dyDescent="0.2">
      <c r="A35" s="220" t="s">
        <v>15</v>
      </c>
      <c r="B35" s="4"/>
      <c r="C35" s="68"/>
      <c r="D35" s="90"/>
      <c r="E35" s="245">
        <f t="shared" ref="E35:E37" si="0">C35*D35</f>
        <v>0</v>
      </c>
    </row>
    <row r="36" spans="1:12" ht="13.5" customHeight="1" x14ac:dyDescent="0.2">
      <c r="A36" s="220" t="s">
        <v>16</v>
      </c>
      <c r="B36" s="4"/>
      <c r="C36" s="68"/>
      <c r="D36" s="90"/>
      <c r="E36" s="245">
        <f t="shared" si="0"/>
        <v>0</v>
      </c>
      <c r="G36" s="72"/>
      <c r="H36" s="16"/>
      <c r="I36" s="16"/>
      <c r="J36" s="7"/>
      <c r="K36" s="17"/>
      <c r="L36" s="17"/>
    </row>
    <row r="37" spans="1:12" ht="14.25" customHeight="1" x14ac:dyDescent="0.2">
      <c r="A37" s="221" t="s">
        <v>17</v>
      </c>
      <c r="B37" s="4"/>
      <c r="C37" s="68"/>
      <c r="D37" s="90"/>
      <c r="E37" s="246">
        <f t="shared" si="0"/>
        <v>0</v>
      </c>
      <c r="G37" s="5"/>
      <c r="H37" s="6"/>
      <c r="I37" s="6"/>
      <c r="J37" s="6"/>
      <c r="K37" s="6"/>
    </row>
    <row r="38" spans="1:12" ht="14.25" customHeight="1" x14ac:dyDescent="0.2">
      <c r="A38" s="199" t="s">
        <v>86</v>
      </c>
      <c r="B38" s="4"/>
      <c r="C38" s="42"/>
      <c r="D38" s="93"/>
      <c r="E38" s="210">
        <v>0</v>
      </c>
      <c r="G38" s="5"/>
      <c r="H38" s="6"/>
      <c r="I38" s="6"/>
      <c r="J38" s="6"/>
      <c r="K38" s="6"/>
    </row>
    <row r="39" spans="1:12" ht="14.25" customHeight="1" x14ac:dyDescent="0.2">
      <c r="A39" s="82" t="s">
        <v>136</v>
      </c>
      <c r="B39" s="81"/>
      <c r="C39" s="42"/>
      <c r="D39" s="93"/>
      <c r="E39" s="90">
        <v>0</v>
      </c>
      <c r="G39" s="5"/>
      <c r="H39" s="6"/>
      <c r="I39" s="6"/>
      <c r="J39" s="6"/>
      <c r="K39" s="6"/>
    </row>
    <row r="40" spans="1:12" ht="14.25" x14ac:dyDescent="0.25">
      <c r="A40" s="32"/>
      <c r="B40" s="4"/>
      <c r="C40" s="7" t="s">
        <v>193</v>
      </c>
      <c r="D40" s="223" t="s">
        <v>265</v>
      </c>
      <c r="E40" s="46"/>
      <c r="G40" s="65"/>
      <c r="I40" s="6"/>
    </row>
    <row r="41" spans="1:12" x14ac:dyDescent="0.2">
      <c r="A41" s="94" t="s">
        <v>192</v>
      </c>
      <c r="C41" s="68">
        <v>35</v>
      </c>
      <c r="D41" s="210">
        <v>0.81</v>
      </c>
      <c r="E41" s="247">
        <f t="shared" ref="E41" si="1">C41*D41</f>
        <v>28.35</v>
      </c>
      <c r="G41" s="48"/>
      <c r="H41" s="6"/>
    </row>
    <row r="42" spans="1:12" ht="14.25" customHeight="1" x14ac:dyDescent="0.25">
      <c r="A42" s="39"/>
      <c r="B42" s="4"/>
      <c r="C42" s="7" t="s">
        <v>194</v>
      </c>
      <c r="D42" s="223" t="s">
        <v>264</v>
      </c>
      <c r="E42" s="46"/>
      <c r="G42" s="5"/>
      <c r="H42" s="6"/>
      <c r="K42" s="17"/>
    </row>
    <row r="43" spans="1:12" ht="14.25" customHeight="1" x14ac:dyDescent="0.2">
      <c r="A43" s="222" t="s">
        <v>13</v>
      </c>
      <c r="C43" s="68">
        <v>150</v>
      </c>
      <c r="D43" s="90">
        <v>0.43</v>
      </c>
      <c r="E43" s="245">
        <f>C43*D43</f>
        <v>64.5</v>
      </c>
      <c r="G43" s="72"/>
      <c r="H43" s="16"/>
      <c r="I43" s="73"/>
      <c r="J43" s="73"/>
      <c r="K43" s="7"/>
      <c r="L43" s="7"/>
    </row>
    <row r="44" spans="1:12" ht="14.25" customHeight="1" x14ac:dyDescent="0.2">
      <c r="C44" s="12"/>
      <c r="G44" s="5"/>
      <c r="H44" s="1"/>
      <c r="I44" s="1"/>
      <c r="J44" s="1"/>
      <c r="K44" s="1"/>
      <c r="L44" s="1"/>
    </row>
    <row r="45" spans="1:12" ht="14.25" customHeight="1" x14ac:dyDescent="0.2">
      <c r="A45" s="199" t="s">
        <v>133</v>
      </c>
      <c r="B45" s="4"/>
      <c r="C45" s="9"/>
      <c r="D45" s="10"/>
      <c r="E45" s="90">
        <v>0</v>
      </c>
      <c r="G45" s="5"/>
      <c r="H45" s="6"/>
      <c r="I45" s="6"/>
      <c r="J45" s="6"/>
      <c r="K45" s="6"/>
      <c r="L45" s="6"/>
    </row>
    <row r="46" spans="1:12" ht="14.25" customHeight="1" x14ac:dyDescent="0.2">
      <c r="A46" s="166"/>
      <c r="B46" s="4"/>
      <c r="C46" s="9"/>
      <c r="D46" s="10"/>
      <c r="E46" s="102"/>
      <c r="G46" s="5"/>
      <c r="H46" s="6"/>
      <c r="I46" s="6"/>
      <c r="J46" s="6"/>
      <c r="K46" s="6"/>
      <c r="L46" s="6"/>
    </row>
    <row r="47" spans="1:12" ht="14.25" customHeight="1" x14ac:dyDescent="0.2">
      <c r="A47" s="199" t="s">
        <v>7</v>
      </c>
      <c r="B47" s="4"/>
      <c r="C47" s="9"/>
      <c r="D47" s="10"/>
      <c r="E47" s="90">
        <v>0</v>
      </c>
      <c r="G47" s="5"/>
      <c r="H47" s="6"/>
      <c r="I47" s="6"/>
      <c r="J47" s="6"/>
      <c r="K47" s="6"/>
      <c r="L47" s="6"/>
    </row>
    <row r="48" spans="1:12" ht="14.25" customHeight="1" x14ac:dyDescent="0.2">
      <c r="A48" s="199"/>
      <c r="B48" s="4"/>
      <c r="C48" s="9"/>
      <c r="D48" s="10"/>
      <c r="E48" s="90">
        <v>0</v>
      </c>
      <c r="G48" s="5"/>
      <c r="H48" s="6"/>
      <c r="I48" s="6"/>
      <c r="J48" s="6"/>
      <c r="K48" s="6"/>
      <c r="L48" s="6"/>
    </row>
    <row r="49" spans="1:12" ht="14.25" customHeight="1" x14ac:dyDescent="0.2">
      <c r="A49" s="199"/>
      <c r="B49" s="4"/>
      <c r="C49" s="9"/>
      <c r="D49" s="10"/>
      <c r="E49" s="90">
        <v>0</v>
      </c>
      <c r="G49" s="5"/>
      <c r="H49" s="6"/>
      <c r="I49" s="6"/>
      <c r="J49" s="6"/>
      <c r="K49" s="6"/>
      <c r="L49" s="6"/>
    </row>
    <row r="50" spans="1:12" ht="14.25" customHeight="1" x14ac:dyDescent="0.2">
      <c r="A50" s="33" t="s">
        <v>247</v>
      </c>
      <c r="B50" s="101"/>
      <c r="C50" s="219" t="s">
        <v>72</v>
      </c>
      <c r="D50" s="54" t="s">
        <v>255</v>
      </c>
      <c r="E50" s="10"/>
      <c r="G50" s="5"/>
      <c r="H50" s="6"/>
      <c r="I50" s="6"/>
      <c r="J50" s="6"/>
      <c r="K50" s="6"/>
      <c r="L50" s="6"/>
    </row>
    <row r="51" spans="1:12" ht="14.25" customHeight="1" x14ac:dyDescent="0.2">
      <c r="A51" s="199" t="s">
        <v>89</v>
      </c>
      <c r="B51" s="4"/>
      <c r="C51" s="68">
        <v>1</v>
      </c>
      <c r="D51" s="90">
        <v>9</v>
      </c>
      <c r="E51" s="245">
        <f>D51*C51</f>
        <v>9</v>
      </c>
      <c r="G51" s="5"/>
      <c r="H51" s="6"/>
      <c r="I51" s="6"/>
      <c r="J51" s="6"/>
      <c r="K51" s="6"/>
      <c r="L51" s="6"/>
    </row>
    <row r="52" spans="1:12" ht="14.25" customHeight="1" x14ac:dyDescent="0.2">
      <c r="A52" s="199"/>
      <c r="B52" s="4"/>
      <c r="C52" s="68"/>
      <c r="D52" s="90"/>
      <c r="E52" s="245">
        <f t="shared" ref="E52:E53" si="2">D52*C52</f>
        <v>0</v>
      </c>
      <c r="G52" s="5"/>
      <c r="H52" s="6"/>
      <c r="I52" s="6"/>
      <c r="J52" s="6"/>
      <c r="K52" s="6"/>
      <c r="L52" s="6"/>
    </row>
    <row r="53" spans="1:12" ht="14.25" customHeight="1" x14ac:dyDescent="0.2">
      <c r="A53" s="199"/>
      <c r="B53" s="4"/>
      <c r="C53" s="68"/>
      <c r="D53" s="90"/>
      <c r="E53" s="245">
        <f t="shared" si="2"/>
        <v>0</v>
      </c>
      <c r="G53" s="5"/>
      <c r="H53" s="6"/>
      <c r="I53" s="6"/>
      <c r="J53" s="6"/>
      <c r="K53" s="6"/>
      <c r="L53" s="6"/>
    </row>
    <row r="54" spans="1:12" ht="14.25" customHeight="1" x14ac:dyDescent="0.2">
      <c r="A54" s="33"/>
      <c r="B54" s="4"/>
      <c r="C54" s="9"/>
      <c r="D54" s="10"/>
      <c r="E54" s="10"/>
      <c r="G54" s="5"/>
      <c r="H54" s="6"/>
      <c r="I54" s="6"/>
      <c r="J54" s="6"/>
      <c r="K54" s="6"/>
      <c r="L54" s="6"/>
    </row>
    <row r="55" spans="1:12" x14ac:dyDescent="0.2">
      <c r="B55" s="7" t="s">
        <v>262</v>
      </c>
      <c r="C55" s="7" t="s">
        <v>263</v>
      </c>
      <c r="D55" s="54" t="s">
        <v>239</v>
      </c>
      <c r="E55" s="7" t="s">
        <v>240</v>
      </c>
    </row>
    <row r="56" spans="1:12" x14ac:dyDescent="0.2">
      <c r="A56" s="4" t="s">
        <v>80</v>
      </c>
      <c r="B56" s="211">
        <v>1</v>
      </c>
      <c r="C56" s="69">
        <v>0</v>
      </c>
      <c r="D56" s="124"/>
      <c r="E56" s="245">
        <f>(D56*C56)/B56</f>
        <v>0</v>
      </c>
      <c r="H56" s="80"/>
    </row>
    <row r="57" spans="1:12" x14ac:dyDescent="0.2">
      <c r="A57" s="15"/>
      <c r="B57" s="40"/>
      <c r="C57" s="125"/>
      <c r="D57" s="224" t="s">
        <v>240</v>
      </c>
      <c r="E57" s="102"/>
      <c r="H57" s="80"/>
    </row>
    <row r="58" spans="1:12" x14ac:dyDescent="0.2">
      <c r="A58" s="33" t="s">
        <v>98</v>
      </c>
      <c r="B58" s="4"/>
      <c r="C58" s="123"/>
      <c r="D58" s="124"/>
      <c r="E58" s="245">
        <f>D58/B56</f>
        <v>0</v>
      </c>
      <c r="H58" s="80"/>
    </row>
    <row r="59" spans="1:12" x14ac:dyDescent="0.2">
      <c r="A59" s="15"/>
      <c r="B59" s="84"/>
      <c r="C59" s="20"/>
      <c r="D59" s="1"/>
      <c r="E59" s="6"/>
      <c r="H59" s="80"/>
    </row>
    <row r="60" spans="1:12" x14ac:dyDescent="0.2">
      <c r="A60" s="152" t="s">
        <v>197</v>
      </c>
      <c r="B60" s="159"/>
      <c r="C60" s="159"/>
      <c r="D60" s="159"/>
      <c r="E60" s="243">
        <f>SUM(E24:E59)</f>
        <v>127.85</v>
      </c>
      <c r="G60" s="33"/>
      <c r="H60" s="33"/>
    </row>
    <row r="61" spans="1:12" x14ac:dyDescent="0.2">
      <c r="A61" s="111" t="s">
        <v>94</v>
      </c>
      <c r="B61" s="92"/>
      <c r="C61" s="92"/>
      <c r="D61" s="92"/>
      <c r="E61" s="92"/>
      <c r="F61" s="92"/>
      <c r="G61" s="33"/>
      <c r="H61" s="33"/>
    </row>
    <row r="62" spans="1:12" x14ac:dyDescent="0.2">
      <c r="A62" s="20" t="s">
        <v>182</v>
      </c>
      <c r="B62" s="60">
        <v>1</v>
      </c>
      <c r="G62" s="33"/>
      <c r="H62" s="33"/>
    </row>
    <row r="63" spans="1:12" x14ac:dyDescent="0.2">
      <c r="A63" s="18"/>
      <c r="B63" s="4"/>
      <c r="C63" s="54" t="s">
        <v>313</v>
      </c>
      <c r="D63" s="54" t="s">
        <v>314</v>
      </c>
      <c r="E63" s="7" t="s">
        <v>240</v>
      </c>
      <c r="G63" s="33"/>
      <c r="H63" s="33"/>
    </row>
    <row r="64" spans="1:12" x14ac:dyDescent="0.2">
      <c r="A64" s="199" t="s">
        <v>172</v>
      </c>
      <c r="B64" s="40"/>
      <c r="C64" s="68">
        <v>15</v>
      </c>
      <c r="D64" s="169">
        <v>350</v>
      </c>
      <c r="E64" s="245">
        <f>((C64/50)*D64)/$B$62</f>
        <v>105</v>
      </c>
      <c r="G64" s="33"/>
      <c r="H64" s="33"/>
    </row>
    <row r="65" spans="1:8" x14ac:dyDescent="0.2">
      <c r="A65" s="199" t="s">
        <v>174</v>
      </c>
      <c r="B65" s="40"/>
      <c r="C65" s="68">
        <v>5</v>
      </c>
      <c r="D65" s="169">
        <v>100</v>
      </c>
      <c r="E65" s="245">
        <f t="shared" ref="E65:E67" si="3">((C65/50)*D65)/$B$62</f>
        <v>10</v>
      </c>
      <c r="G65" s="33"/>
      <c r="H65" s="33"/>
    </row>
    <row r="66" spans="1:8" x14ac:dyDescent="0.2">
      <c r="A66" s="199"/>
      <c r="B66" s="40"/>
      <c r="C66" s="68"/>
      <c r="D66" s="169"/>
      <c r="E66" s="245">
        <f t="shared" si="3"/>
        <v>0</v>
      </c>
      <c r="G66" s="33"/>
      <c r="H66" s="33"/>
    </row>
    <row r="67" spans="1:8" x14ac:dyDescent="0.2">
      <c r="A67" s="60"/>
      <c r="B67" s="40"/>
      <c r="C67" s="68"/>
      <c r="D67" s="169"/>
      <c r="E67" s="245">
        <f t="shared" si="3"/>
        <v>0</v>
      </c>
      <c r="G67" s="33"/>
      <c r="H67" s="33"/>
    </row>
    <row r="68" spans="1:8" x14ac:dyDescent="0.2">
      <c r="A68" s="5"/>
      <c r="B68" s="5"/>
      <c r="C68" s="7" t="s">
        <v>298</v>
      </c>
      <c r="D68" s="54" t="s">
        <v>235</v>
      </c>
      <c r="E68" s="7" t="s">
        <v>240</v>
      </c>
    </row>
    <row r="69" spans="1:8" x14ac:dyDescent="0.2">
      <c r="A69" s="48" t="s">
        <v>173</v>
      </c>
      <c r="B69" s="48"/>
      <c r="C69" s="77">
        <v>2</v>
      </c>
      <c r="D69" s="170"/>
      <c r="E69" s="248">
        <f>D69*C69</f>
        <v>0</v>
      </c>
    </row>
    <row r="70" spans="1:8" x14ac:dyDescent="0.2">
      <c r="A70" s="48" t="s">
        <v>81</v>
      </c>
      <c r="B70" s="48"/>
      <c r="C70" s="68"/>
      <c r="D70" s="169"/>
      <c r="E70" s="324">
        <f>D70*C70</f>
        <v>0</v>
      </c>
    </row>
    <row r="71" spans="1:8" x14ac:dyDescent="0.2">
      <c r="A71" s="48"/>
      <c r="B71" s="48"/>
      <c r="C71" s="225" t="s">
        <v>260</v>
      </c>
      <c r="D71" s="234" t="s">
        <v>261</v>
      </c>
      <c r="E71" s="227" t="s">
        <v>240</v>
      </c>
    </row>
    <row r="72" spans="1:8" x14ac:dyDescent="0.2">
      <c r="A72" s="48" t="s">
        <v>81</v>
      </c>
      <c r="B72" s="48"/>
      <c r="C72" s="68"/>
      <c r="D72" s="169"/>
      <c r="E72" s="324">
        <f>D72*C72</f>
        <v>0</v>
      </c>
    </row>
    <row r="73" spans="1:8" x14ac:dyDescent="0.2">
      <c r="A73" s="146" t="s">
        <v>196</v>
      </c>
      <c r="B73" s="153"/>
      <c r="C73" s="158"/>
      <c r="D73" s="157"/>
      <c r="E73" s="249">
        <f>E64+E69+E70+E72</f>
        <v>105</v>
      </c>
    </row>
    <row r="74" spans="1:8" x14ac:dyDescent="0.2">
      <c r="A74" s="110" t="s">
        <v>92</v>
      </c>
      <c r="B74" s="106"/>
      <c r="C74" s="107"/>
      <c r="D74" s="108"/>
      <c r="E74" s="145"/>
      <c r="F74" s="92"/>
    </row>
    <row r="75" spans="1:8" x14ac:dyDescent="0.2">
      <c r="A75" s="65" t="s">
        <v>2</v>
      </c>
      <c r="B75" s="4"/>
      <c r="C75" s="162"/>
      <c r="D75" s="83"/>
      <c r="E75" s="8" t="s">
        <v>67</v>
      </c>
      <c r="G75" s="31"/>
      <c r="H75" s="31"/>
    </row>
    <row r="76" spans="1:8" x14ac:dyDescent="0.2">
      <c r="A76" s="33" t="s">
        <v>126</v>
      </c>
      <c r="B76" s="4"/>
      <c r="C76" s="162"/>
      <c r="D76" s="83"/>
      <c r="E76" s="217">
        <v>0</v>
      </c>
      <c r="G76" s="31"/>
      <c r="H76" s="31"/>
    </row>
    <row r="77" spans="1:8" x14ac:dyDescent="0.2">
      <c r="A77" s="40" t="s">
        <v>99</v>
      </c>
      <c r="B77" s="4"/>
      <c r="C77" s="162"/>
      <c r="D77" s="83"/>
      <c r="E77" s="90">
        <v>0</v>
      </c>
      <c r="G77" s="31"/>
      <c r="H77" s="31"/>
    </row>
    <row r="78" spans="1:8" x14ac:dyDescent="0.2">
      <c r="A78" s="33" t="s">
        <v>127</v>
      </c>
      <c r="B78" s="4"/>
      <c r="C78" s="9"/>
      <c r="D78" s="163"/>
      <c r="E78" s="90">
        <v>0</v>
      </c>
      <c r="G78" s="31"/>
      <c r="H78" s="31"/>
    </row>
    <row r="79" spans="1:8" x14ac:dyDescent="0.2">
      <c r="A79" s="40" t="s">
        <v>99</v>
      </c>
      <c r="B79" s="4"/>
      <c r="C79" s="9"/>
      <c r="D79" s="163"/>
      <c r="E79" s="90">
        <v>0</v>
      </c>
      <c r="G79" s="31"/>
      <c r="H79" s="31"/>
    </row>
    <row r="80" spans="1:8" x14ac:dyDescent="0.2">
      <c r="A80" s="33" t="s">
        <v>128</v>
      </c>
      <c r="B80" s="4"/>
      <c r="C80" s="9"/>
      <c r="D80" s="163"/>
      <c r="E80" s="90">
        <v>0</v>
      </c>
      <c r="G80" s="31"/>
      <c r="H80" s="31"/>
    </row>
    <row r="81" spans="1:8" x14ac:dyDescent="0.2">
      <c r="A81" s="40" t="s">
        <v>99</v>
      </c>
      <c r="B81" s="4"/>
      <c r="C81" s="9"/>
      <c r="D81" s="163"/>
      <c r="E81" s="90">
        <v>0</v>
      </c>
      <c r="G81" s="31"/>
      <c r="H81" s="31"/>
    </row>
    <row r="82" spans="1:8" x14ac:dyDescent="0.2">
      <c r="A82" s="143" t="s">
        <v>129</v>
      </c>
      <c r="B82" s="3"/>
      <c r="C82" s="42"/>
      <c r="D82" s="164"/>
      <c r="E82" s="90">
        <v>0</v>
      </c>
      <c r="G82" s="30"/>
      <c r="H82" s="30"/>
    </row>
    <row r="83" spans="1:8" x14ac:dyDescent="0.2">
      <c r="A83" s="143" t="s">
        <v>99</v>
      </c>
      <c r="B83" s="3"/>
      <c r="C83" s="42"/>
      <c r="D83" s="164"/>
      <c r="E83" s="90">
        <v>0</v>
      </c>
      <c r="G83" s="20"/>
      <c r="H83" s="20"/>
    </row>
    <row r="84" spans="1:8" x14ac:dyDescent="0.2">
      <c r="A84" s="65" t="s">
        <v>8</v>
      </c>
      <c r="B84" s="4"/>
      <c r="C84" s="9"/>
      <c r="D84" s="3"/>
      <c r="E84" s="169">
        <v>0</v>
      </c>
    </row>
    <row r="85" spans="1:8" x14ac:dyDescent="0.2">
      <c r="A85" s="40" t="s">
        <v>130</v>
      </c>
      <c r="B85" s="4"/>
      <c r="C85" s="9"/>
      <c r="D85" s="3"/>
      <c r="E85" s="169">
        <v>0</v>
      </c>
    </row>
    <row r="86" spans="1:8" x14ac:dyDescent="0.2">
      <c r="A86" s="40" t="s">
        <v>99</v>
      </c>
      <c r="B86" s="4"/>
      <c r="C86" s="9"/>
      <c r="D86" s="3"/>
      <c r="E86" s="169">
        <v>0</v>
      </c>
    </row>
    <row r="87" spans="1:8" x14ac:dyDescent="0.2">
      <c r="A87" s="37" t="s">
        <v>131</v>
      </c>
      <c r="B87" s="3"/>
      <c r="C87" s="42"/>
      <c r="D87" s="164"/>
      <c r="E87" s="90">
        <v>0</v>
      </c>
    </row>
    <row r="88" spans="1:8" x14ac:dyDescent="0.2">
      <c r="A88" s="37" t="s">
        <v>99</v>
      </c>
      <c r="B88" s="3"/>
      <c r="C88" s="42"/>
      <c r="D88" s="164"/>
      <c r="E88" s="90">
        <v>0</v>
      </c>
    </row>
    <row r="89" spans="1:8" x14ac:dyDescent="0.2">
      <c r="A89" s="37" t="s">
        <v>131</v>
      </c>
      <c r="B89" s="3"/>
      <c r="C89" s="42"/>
      <c r="D89" s="164"/>
      <c r="E89" s="90">
        <v>0</v>
      </c>
    </row>
    <row r="90" spans="1:8" x14ac:dyDescent="0.2">
      <c r="A90" s="37" t="s">
        <v>99</v>
      </c>
      <c r="B90" s="3"/>
      <c r="C90" s="42"/>
      <c r="D90" s="164"/>
      <c r="E90" s="90">
        <v>0</v>
      </c>
    </row>
    <row r="91" spans="1:8" x14ac:dyDescent="0.2">
      <c r="A91" s="65" t="s">
        <v>12</v>
      </c>
      <c r="B91" s="4"/>
      <c r="C91" s="9"/>
      <c r="D91" s="3"/>
      <c r="E91" s="169">
        <v>0</v>
      </c>
    </row>
    <row r="92" spans="1:8" ht="13.5" customHeight="1" x14ac:dyDescent="0.2">
      <c r="A92" s="37" t="s">
        <v>175</v>
      </c>
      <c r="B92" s="3"/>
      <c r="C92" s="42"/>
      <c r="D92" s="164"/>
      <c r="E92" s="90">
        <v>0</v>
      </c>
      <c r="H92" s="20"/>
    </row>
    <row r="93" spans="1:8" x14ac:dyDescent="0.2">
      <c r="A93" s="37" t="s">
        <v>99</v>
      </c>
      <c r="B93" s="3"/>
      <c r="C93" s="42"/>
      <c r="D93" s="164"/>
      <c r="E93" s="90">
        <v>0</v>
      </c>
    </row>
    <row r="94" spans="1:8" x14ac:dyDescent="0.2">
      <c r="A94" s="37" t="s">
        <v>176</v>
      </c>
      <c r="B94" s="3"/>
      <c r="C94" s="42"/>
      <c r="D94" s="164"/>
      <c r="E94" s="90">
        <v>0</v>
      </c>
    </row>
    <row r="95" spans="1:8" x14ac:dyDescent="0.2">
      <c r="A95" s="37" t="s">
        <v>99</v>
      </c>
      <c r="B95" s="3"/>
      <c r="C95" s="42"/>
      <c r="D95" s="164"/>
      <c r="E95" s="90">
        <v>0</v>
      </c>
    </row>
    <row r="96" spans="1:8" x14ac:dyDescent="0.2">
      <c r="A96" s="37" t="s">
        <v>177</v>
      </c>
      <c r="B96" s="3"/>
      <c r="C96" s="42"/>
      <c r="D96" s="164"/>
      <c r="E96" s="90">
        <v>0</v>
      </c>
    </row>
    <row r="97" spans="1:8" x14ac:dyDescent="0.2">
      <c r="A97" s="37" t="s">
        <v>99</v>
      </c>
      <c r="B97" s="3"/>
      <c r="C97" s="42"/>
      <c r="D97" s="164"/>
      <c r="E97" s="90">
        <v>0</v>
      </c>
    </row>
    <row r="98" spans="1:8" x14ac:dyDescent="0.2">
      <c r="A98" s="143" t="s">
        <v>30</v>
      </c>
      <c r="B98" s="3"/>
      <c r="C98" s="42"/>
      <c r="D98" s="164"/>
      <c r="E98" s="90">
        <v>0</v>
      </c>
    </row>
    <row r="99" spans="1:8" x14ac:dyDescent="0.2">
      <c r="A99" s="143" t="s">
        <v>31</v>
      </c>
      <c r="B99" s="3"/>
      <c r="C99" s="42"/>
      <c r="D99" s="164"/>
      <c r="E99" s="90">
        <v>0</v>
      </c>
    </row>
    <row r="100" spans="1:8" x14ac:dyDescent="0.2">
      <c r="A100" s="156" t="s">
        <v>198</v>
      </c>
      <c r="B100" s="157"/>
      <c r="C100" s="148"/>
      <c r="D100" s="165"/>
      <c r="E100" s="250">
        <f>SUM(E76:E99)</f>
        <v>0</v>
      </c>
    </row>
    <row r="101" spans="1:8" x14ac:dyDescent="0.2">
      <c r="A101" s="131" t="s">
        <v>10</v>
      </c>
      <c r="B101" s="105"/>
      <c r="C101" s="130"/>
      <c r="D101" s="109"/>
      <c r="E101" s="109"/>
      <c r="F101" s="92"/>
    </row>
    <row r="102" spans="1:8" x14ac:dyDescent="0.2">
      <c r="A102" s="144"/>
      <c r="B102" s="3"/>
      <c r="C102" s="9"/>
      <c r="D102" s="10"/>
      <c r="E102" s="7" t="s">
        <v>240</v>
      </c>
    </row>
    <row r="103" spans="1:8" x14ac:dyDescent="0.2">
      <c r="A103" s="143" t="s">
        <v>118</v>
      </c>
      <c r="B103" s="3"/>
      <c r="C103" s="42"/>
      <c r="D103" s="43"/>
      <c r="E103" s="90">
        <v>0</v>
      </c>
    </row>
    <row r="104" spans="1:8" x14ac:dyDescent="0.2">
      <c r="A104" s="143"/>
      <c r="B104" s="3"/>
      <c r="C104" s="225" t="s">
        <v>116</v>
      </c>
      <c r="D104" s="226" t="s">
        <v>257</v>
      </c>
      <c r="E104" s="7" t="s">
        <v>240</v>
      </c>
    </row>
    <row r="105" spans="1:8" x14ac:dyDescent="0.2">
      <c r="A105" s="20" t="s">
        <v>115</v>
      </c>
      <c r="B105" s="5"/>
      <c r="C105" s="150">
        <v>0</v>
      </c>
      <c r="D105" s="151">
        <v>5.5</v>
      </c>
      <c r="E105" s="246">
        <f>+C105*D105</f>
        <v>0</v>
      </c>
    </row>
    <row r="106" spans="1:8" x14ac:dyDescent="0.2">
      <c r="A106" s="152" t="s">
        <v>117</v>
      </c>
      <c r="B106" s="153"/>
      <c r="C106" s="154"/>
      <c r="D106" s="155"/>
      <c r="E106" s="250">
        <f>E105+E103</f>
        <v>0</v>
      </c>
    </row>
    <row r="107" spans="1:8" ht="15" x14ac:dyDescent="0.25">
      <c r="A107" s="110" t="s">
        <v>93</v>
      </c>
      <c r="B107" s="103"/>
      <c r="C107" s="104"/>
      <c r="D107" s="105"/>
      <c r="E107" s="105"/>
      <c r="F107" s="92"/>
      <c r="H107" s="129"/>
    </row>
    <row r="108" spans="1:8" ht="13.5" customHeight="1" x14ac:dyDescent="0.2">
      <c r="A108" s="18"/>
      <c r="B108" s="4"/>
      <c r="C108" s="3"/>
      <c r="D108" s="3"/>
      <c r="E108" s="7" t="s">
        <v>240</v>
      </c>
    </row>
    <row r="109" spans="1:8" ht="13.5" customHeight="1" x14ac:dyDescent="0.2">
      <c r="A109" s="33" t="s">
        <v>232</v>
      </c>
      <c r="B109" s="4"/>
      <c r="C109" s="3"/>
      <c r="D109" s="3"/>
      <c r="E109" s="173">
        <v>185</v>
      </c>
    </row>
    <row r="110" spans="1:8" x14ac:dyDescent="0.2">
      <c r="A110" s="33" t="s">
        <v>28</v>
      </c>
      <c r="B110" s="4"/>
      <c r="C110" s="42"/>
      <c r="D110" s="43"/>
      <c r="E110" s="90">
        <v>25</v>
      </c>
    </row>
    <row r="111" spans="1:8" x14ac:dyDescent="0.2">
      <c r="A111" s="33" t="s">
        <v>102</v>
      </c>
      <c r="B111" s="4"/>
      <c r="C111" s="42"/>
      <c r="D111" s="43"/>
      <c r="E111" s="90">
        <v>0</v>
      </c>
    </row>
    <row r="112" spans="1:8" ht="15" x14ac:dyDescent="0.25">
      <c r="A112" s="33" t="s">
        <v>91</v>
      </c>
      <c r="B112" s="40" t="s">
        <v>233</v>
      </c>
      <c r="C112" s="42"/>
      <c r="D112" s="43"/>
      <c r="E112" s="90">
        <v>0</v>
      </c>
      <c r="H112" s="128"/>
    </row>
    <row r="113" spans="1:8" ht="15" x14ac:dyDescent="0.25">
      <c r="A113" s="33" t="s">
        <v>101</v>
      </c>
      <c r="B113" s="40"/>
      <c r="C113" s="42"/>
      <c r="D113" s="43"/>
      <c r="E113" s="193">
        <v>2.5</v>
      </c>
      <c r="H113" s="128"/>
    </row>
    <row r="114" spans="1:8" x14ac:dyDescent="0.2">
      <c r="A114" s="146" t="s">
        <v>120</v>
      </c>
      <c r="B114" s="147"/>
      <c r="C114" s="148"/>
      <c r="D114" s="149"/>
      <c r="E114" s="250">
        <f>SUM(E109:E113)</f>
        <v>212.5</v>
      </c>
    </row>
    <row r="115" spans="1:8" x14ac:dyDescent="0.2">
      <c r="A115" s="92"/>
      <c r="B115" s="103"/>
      <c r="C115" s="135"/>
      <c r="D115" s="136"/>
      <c r="E115" s="133"/>
      <c r="F115" s="92"/>
    </row>
    <row r="116" spans="1:8" x14ac:dyDescent="0.2">
      <c r="A116" s="287" t="s">
        <v>202</v>
      </c>
      <c r="B116" s="288"/>
      <c r="C116" s="289"/>
      <c r="D116" s="290"/>
      <c r="E116" s="250">
        <f>E60+E73+E100+E106+E114</f>
        <v>445.35</v>
      </c>
    </row>
    <row r="117" spans="1:8" x14ac:dyDescent="0.2">
      <c r="A117" s="14"/>
      <c r="B117" s="3"/>
      <c r="C117" s="9"/>
      <c r="D117" s="10"/>
      <c r="E117" s="126"/>
    </row>
    <row r="118" spans="1:8" x14ac:dyDescent="0.2">
      <c r="A118" s="111" t="s">
        <v>100</v>
      </c>
      <c r="B118" s="92"/>
      <c r="C118" s="127"/>
      <c r="D118" s="103"/>
      <c r="E118" s="92"/>
      <c r="F118" s="92"/>
    </row>
    <row r="119" spans="1:8" x14ac:dyDescent="0.2">
      <c r="A119" s="11" t="s">
        <v>121</v>
      </c>
      <c r="C119" s="219" t="s">
        <v>256</v>
      </c>
      <c r="D119" s="228" t="s">
        <v>255</v>
      </c>
      <c r="E119" s="7" t="s">
        <v>240</v>
      </c>
    </row>
    <row r="120" spans="1:8" x14ac:dyDescent="0.2">
      <c r="A120" s="199" t="s">
        <v>82</v>
      </c>
      <c r="B120" s="4"/>
      <c r="C120" s="68">
        <v>1</v>
      </c>
      <c r="D120" s="89">
        <v>20</v>
      </c>
      <c r="E120" s="241">
        <f>C120*D120</f>
        <v>20</v>
      </c>
    </row>
    <row r="121" spans="1:8" x14ac:dyDescent="0.2">
      <c r="A121" s="199" t="s">
        <v>9</v>
      </c>
      <c r="B121" s="4"/>
      <c r="C121" s="68">
        <v>1</v>
      </c>
      <c r="D121" s="90">
        <v>18</v>
      </c>
      <c r="E121" s="241">
        <f t="shared" ref="E121:E128" si="4">C121*D121</f>
        <v>18</v>
      </c>
    </row>
    <row r="122" spans="1:8" x14ac:dyDescent="0.2">
      <c r="A122" s="199" t="s">
        <v>327</v>
      </c>
      <c r="B122" s="4"/>
      <c r="C122" s="68">
        <v>1</v>
      </c>
      <c r="D122" s="90">
        <v>22.5</v>
      </c>
      <c r="E122" s="241">
        <f t="shared" si="4"/>
        <v>22.5</v>
      </c>
    </row>
    <row r="123" spans="1:8" x14ac:dyDescent="0.2">
      <c r="A123" s="199"/>
      <c r="B123" s="4"/>
      <c r="C123" s="68"/>
      <c r="D123" s="90">
        <v>0</v>
      </c>
      <c r="E123" s="241">
        <f t="shared" si="4"/>
        <v>0</v>
      </c>
    </row>
    <row r="124" spans="1:8" x14ac:dyDescent="0.2">
      <c r="A124" s="199"/>
      <c r="B124" s="4"/>
      <c r="C124" s="68"/>
      <c r="D124" s="90">
        <v>0</v>
      </c>
      <c r="E124" s="241">
        <f t="shared" si="4"/>
        <v>0</v>
      </c>
    </row>
    <row r="125" spans="1:8" ht="14.25" customHeight="1" x14ac:dyDescent="0.2">
      <c r="A125" s="213"/>
      <c r="B125" s="4"/>
      <c r="C125" s="68"/>
      <c r="D125" s="90">
        <v>0</v>
      </c>
      <c r="E125" s="241">
        <f t="shared" si="4"/>
        <v>0</v>
      </c>
    </row>
    <row r="126" spans="1:8" ht="14.25" customHeight="1" x14ac:dyDescent="0.2">
      <c r="A126" s="213"/>
      <c r="B126" s="4"/>
      <c r="C126" s="68"/>
      <c r="D126" s="90">
        <v>0</v>
      </c>
      <c r="E126" s="241">
        <v>0</v>
      </c>
    </row>
    <row r="127" spans="1:8" ht="14.25" customHeight="1" x14ac:dyDescent="0.2">
      <c r="A127" s="213"/>
      <c r="B127" s="4"/>
      <c r="C127" s="68"/>
      <c r="D127" s="90">
        <v>0</v>
      </c>
      <c r="E127" s="241">
        <v>0</v>
      </c>
    </row>
    <row r="128" spans="1:8" ht="12" customHeight="1" x14ac:dyDescent="0.2">
      <c r="A128" s="213"/>
      <c r="B128" s="3"/>
      <c r="C128" s="68"/>
      <c r="D128" s="90">
        <v>0</v>
      </c>
      <c r="E128" s="241">
        <f t="shared" si="4"/>
        <v>0</v>
      </c>
    </row>
    <row r="129" spans="1:19" ht="12.75" customHeight="1" x14ac:dyDescent="0.2">
      <c r="A129" s="199"/>
      <c r="B129" s="292"/>
      <c r="C129" s="68"/>
      <c r="D129" s="90">
        <v>0</v>
      </c>
      <c r="E129" s="245">
        <f>C129*D129</f>
        <v>0</v>
      </c>
    </row>
    <row r="130" spans="1:19" ht="12" customHeight="1" x14ac:dyDescent="0.2">
      <c r="A130" s="287" t="s">
        <v>183</v>
      </c>
      <c r="B130" s="288"/>
      <c r="C130" s="289"/>
      <c r="D130" s="291"/>
      <c r="E130" s="250">
        <f>SUM(E120:E129)</f>
        <v>60.5</v>
      </c>
      <c r="H130" s="322"/>
    </row>
    <row r="131" spans="1:19" ht="12" customHeight="1" x14ac:dyDescent="0.2">
      <c r="A131" s="8"/>
      <c r="B131" s="3"/>
      <c r="C131" s="9"/>
      <c r="D131" s="3"/>
      <c r="E131" s="126"/>
      <c r="H131" s="323"/>
      <c r="I131" s="322" t="s">
        <v>336</v>
      </c>
    </row>
    <row r="132" spans="1:19" ht="12.75" customHeight="1" x14ac:dyDescent="0.2">
      <c r="A132" s="14" t="s">
        <v>220</v>
      </c>
      <c r="B132" s="3"/>
      <c r="C132" s="7" t="s">
        <v>312</v>
      </c>
      <c r="D132" s="7" t="s">
        <v>255</v>
      </c>
      <c r="E132" s="7" t="s">
        <v>240</v>
      </c>
      <c r="I132" s="323" t="s">
        <v>355</v>
      </c>
    </row>
    <row r="133" spans="1:19" ht="12.75" customHeight="1" x14ac:dyDescent="0.2">
      <c r="A133" s="196" t="s">
        <v>346</v>
      </c>
      <c r="B133" s="3"/>
      <c r="C133" s="68">
        <v>3</v>
      </c>
      <c r="D133" s="91">
        <v>18</v>
      </c>
      <c r="E133" s="245">
        <f>C133*D133</f>
        <v>54</v>
      </c>
      <c r="H133" s="322"/>
    </row>
    <row r="134" spans="1:19" ht="12.75" customHeight="1" x14ac:dyDescent="0.2">
      <c r="A134" s="199" t="s">
        <v>350</v>
      </c>
      <c r="B134" s="40"/>
      <c r="C134" s="68">
        <v>3</v>
      </c>
      <c r="D134" s="91">
        <v>8</v>
      </c>
      <c r="E134" s="245">
        <f t="shared" ref="E134:E140" si="5">C134*D134</f>
        <v>24</v>
      </c>
      <c r="H134" s="323"/>
      <c r="I134" s="322" t="s">
        <v>334</v>
      </c>
      <c r="S134" s="4"/>
    </row>
    <row r="135" spans="1:19" ht="12.75" customHeight="1" x14ac:dyDescent="0.2">
      <c r="A135" s="199"/>
      <c r="B135" s="4"/>
      <c r="C135" s="68"/>
      <c r="D135" s="91">
        <v>0</v>
      </c>
      <c r="E135" s="245">
        <f t="shared" si="5"/>
        <v>0</v>
      </c>
      <c r="I135" s="323" t="s">
        <v>335</v>
      </c>
      <c r="S135" s="4"/>
    </row>
    <row r="136" spans="1:19" ht="12.75" customHeight="1" x14ac:dyDescent="0.2">
      <c r="A136" s="199"/>
      <c r="B136" s="40"/>
      <c r="C136" s="68"/>
      <c r="D136" s="91">
        <v>0</v>
      </c>
      <c r="E136" s="245">
        <f t="shared" si="5"/>
        <v>0</v>
      </c>
      <c r="H136" s="322"/>
      <c r="I136" s="36" t="s">
        <v>357</v>
      </c>
      <c r="S136" s="4"/>
    </row>
    <row r="137" spans="1:19" ht="12.75" customHeight="1" x14ac:dyDescent="0.2">
      <c r="A137" s="199"/>
      <c r="B137" s="40"/>
      <c r="C137" s="68"/>
      <c r="D137" s="91">
        <v>0</v>
      </c>
      <c r="E137" s="245">
        <f t="shared" si="5"/>
        <v>0</v>
      </c>
      <c r="H137" s="323"/>
      <c r="S137" s="4"/>
    </row>
    <row r="138" spans="1:19" ht="12.75" customHeight="1" x14ac:dyDescent="0.2">
      <c r="A138" s="199"/>
      <c r="B138" s="40"/>
      <c r="C138" s="68"/>
      <c r="D138" s="91">
        <v>0</v>
      </c>
      <c r="E138" s="245">
        <f t="shared" si="5"/>
        <v>0</v>
      </c>
      <c r="I138" t="s">
        <v>358</v>
      </c>
      <c r="S138" s="4"/>
    </row>
    <row r="139" spans="1:19" ht="12.75" customHeight="1" x14ac:dyDescent="0.2">
      <c r="A139" s="199"/>
      <c r="B139" s="40"/>
      <c r="C139" s="68"/>
      <c r="D139" s="91">
        <v>0</v>
      </c>
      <c r="E139" s="245">
        <f t="shared" si="5"/>
        <v>0</v>
      </c>
      <c r="H139" s="322"/>
      <c r="I139" s="323" t="s">
        <v>359</v>
      </c>
      <c r="S139" s="4"/>
    </row>
    <row r="140" spans="1:19" ht="12.75" customHeight="1" x14ac:dyDescent="0.2">
      <c r="A140" s="199"/>
      <c r="B140" s="295"/>
      <c r="C140" s="68"/>
      <c r="D140" s="90">
        <v>0</v>
      </c>
      <c r="E140" s="245">
        <f t="shared" si="5"/>
        <v>0</v>
      </c>
      <c r="H140" s="323"/>
      <c r="S140" s="4"/>
    </row>
    <row r="141" spans="1:19" ht="12.75" customHeight="1" x14ac:dyDescent="0.2">
      <c r="A141" s="168" t="s">
        <v>221</v>
      </c>
      <c r="B141" s="132"/>
      <c r="C141" s="293"/>
      <c r="D141" s="297"/>
      <c r="E141" s="298">
        <f>SUM(E133:E140)</f>
        <v>78</v>
      </c>
      <c r="I141" s="322" t="s">
        <v>337</v>
      </c>
      <c r="S141" s="4"/>
    </row>
    <row r="142" spans="1:19" ht="12.75" customHeight="1" x14ac:dyDescent="0.2">
      <c r="A142" s="40"/>
      <c r="B142" s="40"/>
      <c r="C142" s="42"/>
      <c r="D142" s="164"/>
      <c r="E142" s="93"/>
      <c r="I142" s="323" t="s">
        <v>338</v>
      </c>
      <c r="S142" s="4"/>
    </row>
    <row r="143" spans="1:19" ht="12.75" customHeight="1" x14ac:dyDescent="0.2">
      <c r="A143" s="198" t="s">
        <v>271</v>
      </c>
      <c r="B143" s="7" t="s">
        <v>311</v>
      </c>
      <c r="C143" s="225" t="s">
        <v>268</v>
      </c>
      <c r="D143" s="226" t="s">
        <v>267</v>
      </c>
      <c r="E143" s="7" t="s">
        <v>240</v>
      </c>
      <c r="S143" s="4"/>
    </row>
    <row r="144" spans="1:19" ht="12.75" customHeight="1" x14ac:dyDescent="0.2">
      <c r="A144" s="199" t="s">
        <v>160</v>
      </c>
      <c r="B144" s="207"/>
      <c r="C144" s="68"/>
      <c r="D144" s="90">
        <v>0</v>
      </c>
      <c r="E144" s="245">
        <f t="shared" ref="E144:E145" si="6">IFERROR((D144/C144)*B144,0)</f>
        <v>0</v>
      </c>
      <c r="I144" s="322" t="s">
        <v>339</v>
      </c>
      <c r="S144" s="4"/>
    </row>
    <row r="145" spans="1:19" ht="12.75" customHeight="1" x14ac:dyDescent="0.2">
      <c r="A145" s="199"/>
      <c r="B145" s="207"/>
      <c r="C145" s="68"/>
      <c r="D145" s="91">
        <v>0</v>
      </c>
      <c r="E145" s="245">
        <f t="shared" si="6"/>
        <v>0</v>
      </c>
      <c r="I145" s="323" t="s">
        <v>356</v>
      </c>
      <c r="S145" s="4"/>
    </row>
    <row r="146" spans="1:19" ht="12.75" customHeight="1" x14ac:dyDescent="0.2">
      <c r="A146" s="199"/>
      <c r="B146" s="207"/>
      <c r="C146" s="68"/>
      <c r="D146" s="91">
        <v>0</v>
      </c>
      <c r="E146" s="245">
        <f>IFERROR((D146/C146)*B146,0)</f>
        <v>0</v>
      </c>
      <c r="S146" s="4"/>
    </row>
    <row r="147" spans="1:19" ht="12.75" customHeight="1" x14ac:dyDescent="0.2">
      <c r="A147" s="199"/>
      <c r="B147" s="207"/>
      <c r="C147" s="68"/>
      <c r="D147" s="91">
        <v>0</v>
      </c>
      <c r="E147" s="245">
        <f t="shared" ref="E147:E151" si="7">IFERROR((D147/C147)*B147,0)</f>
        <v>0</v>
      </c>
      <c r="S147" s="4"/>
    </row>
    <row r="148" spans="1:19" ht="12.75" customHeight="1" x14ac:dyDescent="0.2">
      <c r="A148" s="199"/>
      <c r="B148" s="207"/>
      <c r="C148" s="68"/>
      <c r="D148" s="91">
        <v>0</v>
      </c>
      <c r="E148" s="245">
        <f t="shared" si="7"/>
        <v>0</v>
      </c>
      <c r="S148" s="4"/>
    </row>
    <row r="149" spans="1:19" ht="12.75" customHeight="1" x14ac:dyDescent="0.2">
      <c r="A149" s="199"/>
      <c r="B149" s="207"/>
      <c r="C149" s="68"/>
      <c r="D149" s="91">
        <v>0</v>
      </c>
      <c r="E149" s="245">
        <f t="shared" si="7"/>
        <v>0</v>
      </c>
      <c r="S149" s="4"/>
    </row>
    <row r="150" spans="1:19" ht="12.75" customHeight="1" x14ac:dyDescent="0.2">
      <c r="A150" s="230"/>
      <c r="B150" s="207"/>
      <c r="C150" s="77"/>
      <c r="D150" s="174">
        <v>0</v>
      </c>
      <c r="E150" s="245">
        <f t="shared" si="7"/>
        <v>0</v>
      </c>
      <c r="S150" s="4"/>
    </row>
    <row r="151" spans="1:19" ht="12.75" customHeight="1" x14ac:dyDescent="0.2">
      <c r="A151" s="199"/>
      <c r="B151" s="207"/>
      <c r="C151" s="68"/>
      <c r="D151" s="90">
        <v>0</v>
      </c>
      <c r="E151" s="245">
        <f t="shared" si="7"/>
        <v>0</v>
      </c>
      <c r="S151" s="4"/>
    </row>
    <row r="152" spans="1:19" ht="12.75" customHeight="1" x14ac:dyDescent="0.2">
      <c r="A152" s="302" t="s">
        <v>222</v>
      </c>
      <c r="B152" s="303"/>
      <c r="C152" s="304"/>
      <c r="D152" s="305"/>
      <c r="E152" s="250">
        <f>SUM(E144:E151)</f>
        <v>0</v>
      </c>
      <c r="S152" s="4"/>
    </row>
    <row r="153" spans="1:19" ht="12.75" customHeight="1" x14ac:dyDescent="0.2">
      <c r="A153" s="40"/>
      <c r="B153" s="40"/>
      <c r="C153" s="42"/>
      <c r="D153" s="164"/>
      <c r="E153" s="93"/>
      <c r="S153" s="4"/>
    </row>
    <row r="154" spans="1:19" ht="12.75" customHeight="1" x14ac:dyDescent="0.2">
      <c r="A154" s="260" t="s">
        <v>309</v>
      </c>
      <c r="B154" s="40"/>
      <c r="C154" s="225" t="s">
        <v>310</v>
      </c>
      <c r="D154" s="234" t="s">
        <v>301</v>
      </c>
      <c r="E154" s="93"/>
      <c r="S154" s="4"/>
    </row>
    <row r="155" spans="1:19" ht="12.75" customHeight="1" x14ac:dyDescent="0.2">
      <c r="A155" s="199"/>
      <c r="B155" s="40"/>
      <c r="C155" s="68"/>
      <c r="D155" s="90">
        <v>0</v>
      </c>
      <c r="E155" s="245">
        <f>C155*D155</f>
        <v>0</v>
      </c>
      <c r="S155" s="4"/>
    </row>
    <row r="156" spans="1:19" ht="12.75" customHeight="1" x14ac:dyDescent="0.2">
      <c r="A156" s="199"/>
      <c r="B156" s="40"/>
      <c r="C156" s="68"/>
      <c r="D156" s="91">
        <v>0</v>
      </c>
      <c r="E156" s="245">
        <f t="shared" ref="E156:E161" si="8">C156*D156</f>
        <v>0</v>
      </c>
      <c r="S156" s="4"/>
    </row>
    <row r="157" spans="1:19" ht="12.75" customHeight="1" x14ac:dyDescent="0.2">
      <c r="A157" s="199" t="s">
        <v>351</v>
      </c>
      <c r="B157" s="40"/>
      <c r="C157" s="68">
        <v>5</v>
      </c>
      <c r="D157" s="91">
        <v>12</v>
      </c>
      <c r="E157" s="245">
        <f t="shared" si="8"/>
        <v>60</v>
      </c>
      <c r="S157" s="4"/>
    </row>
    <row r="158" spans="1:19" ht="12.75" customHeight="1" x14ac:dyDescent="0.2">
      <c r="A158" s="199" t="s">
        <v>401</v>
      </c>
      <c r="B158" s="40"/>
      <c r="C158" s="68">
        <v>5</v>
      </c>
      <c r="D158" s="91">
        <v>3</v>
      </c>
      <c r="E158" s="245">
        <f t="shared" si="8"/>
        <v>15</v>
      </c>
      <c r="S158" s="4"/>
    </row>
    <row r="159" spans="1:19" ht="12.75" customHeight="1" x14ac:dyDescent="0.2">
      <c r="A159" s="199"/>
      <c r="B159" s="40"/>
      <c r="C159" s="68"/>
      <c r="D159" s="91">
        <v>0</v>
      </c>
      <c r="E159" s="245">
        <f t="shared" si="8"/>
        <v>0</v>
      </c>
      <c r="S159" s="4"/>
    </row>
    <row r="160" spans="1:19" ht="12.75" customHeight="1" x14ac:dyDescent="0.2">
      <c r="A160" s="199"/>
      <c r="B160" s="40"/>
      <c r="C160" s="68"/>
      <c r="D160" s="91">
        <v>0</v>
      </c>
      <c r="E160" s="245">
        <f t="shared" si="8"/>
        <v>0</v>
      </c>
      <c r="S160" s="4"/>
    </row>
    <row r="161" spans="1:19" ht="12.75" customHeight="1" x14ac:dyDescent="0.2">
      <c r="A161" s="199"/>
      <c r="B161" s="295"/>
      <c r="C161" s="68"/>
      <c r="D161" s="90">
        <v>0</v>
      </c>
      <c r="E161" s="245">
        <f t="shared" si="8"/>
        <v>0</v>
      </c>
      <c r="S161" s="4"/>
    </row>
    <row r="162" spans="1:19" ht="12.75" customHeight="1" x14ac:dyDescent="0.2">
      <c r="A162" s="301" t="s">
        <v>223</v>
      </c>
      <c r="B162" s="132"/>
      <c r="C162" s="293"/>
      <c r="D162" s="297"/>
      <c r="E162" s="250">
        <f>SUM(E155:E161)</f>
        <v>75</v>
      </c>
      <c r="S162" s="4"/>
    </row>
    <row r="163" spans="1:19" ht="12.75" customHeight="1" x14ac:dyDescent="0.2">
      <c r="A163" s="40"/>
      <c r="B163" s="40"/>
      <c r="C163" s="42"/>
      <c r="D163" s="164"/>
      <c r="E163" s="93"/>
      <c r="S163" s="4"/>
    </row>
    <row r="164" spans="1:19" ht="12.75" customHeight="1" x14ac:dyDescent="0.2">
      <c r="A164" s="260" t="s">
        <v>273</v>
      </c>
      <c r="B164" s="40"/>
      <c r="C164" s="225" t="s">
        <v>308</v>
      </c>
      <c r="D164" s="226" t="s">
        <v>239</v>
      </c>
      <c r="E164" s="93"/>
      <c r="S164" s="4"/>
    </row>
    <row r="165" spans="1:19" ht="12.75" customHeight="1" x14ac:dyDescent="0.2">
      <c r="A165" s="199"/>
      <c r="B165" s="40"/>
      <c r="C165" s="68"/>
      <c r="D165" s="90">
        <v>0</v>
      </c>
      <c r="E165" s="245">
        <f>C165*D165</f>
        <v>0</v>
      </c>
      <c r="S165" s="4"/>
    </row>
    <row r="166" spans="1:19" ht="12.75" customHeight="1" x14ac:dyDescent="0.2">
      <c r="A166" s="199"/>
      <c r="B166" s="40"/>
      <c r="C166" s="68"/>
      <c r="D166" s="90">
        <v>0</v>
      </c>
      <c r="E166" s="245">
        <f t="shared" ref="E166:E171" si="9">C166*D166</f>
        <v>0</v>
      </c>
      <c r="S166" s="4"/>
    </row>
    <row r="167" spans="1:19" ht="12.75" customHeight="1" x14ac:dyDescent="0.2">
      <c r="A167" s="199"/>
      <c r="B167" s="40"/>
      <c r="C167" s="68"/>
      <c r="D167" s="90">
        <v>0</v>
      </c>
      <c r="E167" s="245">
        <f t="shared" si="9"/>
        <v>0</v>
      </c>
      <c r="S167" s="4"/>
    </row>
    <row r="168" spans="1:19" ht="12.75" customHeight="1" x14ac:dyDescent="0.2">
      <c r="A168" s="199"/>
      <c r="B168" s="40"/>
      <c r="C168" s="68"/>
      <c r="D168" s="90">
        <v>0</v>
      </c>
      <c r="E168" s="245">
        <f t="shared" si="9"/>
        <v>0</v>
      </c>
      <c r="S168" s="4"/>
    </row>
    <row r="169" spans="1:19" ht="12.75" customHeight="1" x14ac:dyDescent="0.2">
      <c r="A169" s="199"/>
      <c r="B169" s="40"/>
      <c r="C169" s="68"/>
      <c r="D169" s="90">
        <v>0</v>
      </c>
      <c r="E169" s="245">
        <f t="shared" si="9"/>
        <v>0</v>
      </c>
      <c r="S169" s="4"/>
    </row>
    <row r="170" spans="1:19" ht="12.75" customHeight="1" x14ac:dyDescent="0.2">
      <c r="A170" s="230"/>
      <c r="B170" s="40"/>
      <c r="C170" s="68"/>
      <c r="D170" s="193">
        <v>0</v>
      </c>
      <c r="E170" s="246">
        <f t="shared" si="9"/>
        <v>0</v>
      </c>
      <c r="S170" s="4"/>
    </row>
    <row r="171" spans="1:19" ht="12.75" customHeight="1" x14ac:dyDescent="0.2">
      <c r="A171" s="199"/>
      <c r="B171" s="295"/>
      <c r="C171" s="68"/>
      <c r="D171" s="90">
        <v>0</v>
      </c>
      <c r="E171" s="245">
        <f t="shared" si="9"/>
        <v>0</v>
      </c>
      <c r="S171" s="4"/>
    </row>
    <row r="172" spans="1:19" ht="12.75" customHeight="1" x14ac:dyDescent="0.2">
      <c r="A172" s="302" t="s">
        <v>224</v>
      </c>
      <c r="B172" s="303"/>
      <c r="C172" s="304"/>
      <c r="D172" s="305"/>
      <c r="E172" s="250">
        <f>SUM(E165:E171)</f>
        <v>0</v>
      </c>
      <c r="S172" s="4"/>
    </row>
    <row r="173" spans="1:19" ht="12.75" customHeight="1" x14ac:dyDescent="0.2">
      <c r="A173" s="40"/>
      <c r="B173" s="40"/>
      <c r="C173" s="42"/>
      <c r="D173" s="164"/>
      <c r="E173" s="93"/>
      <c r="S173" s="4"/>
    </row>
    <row r="174" spans="1:19" ht="12.75" customHeight="1" x14ac:dyDescent="0.2">
      <c r="A174" s="198" t="s">
        <v>34</v>
      </c>
      <c r="B174" s="7" t="s">
        <v>275</v>
      </c>
      <c r="C174" s="225" t="s">
        <v>124</v>
      </c>
      <c r="D174" s="235" t="s">
        <v>253</v>
      </c>
      <c r="E174" s="7" t="s">
        <v>240</v>
      </c>
      <c r="S174" s="4"/>
    </row>
    <row r="175" spans="1:19" ht="12.75" customHeight="1" x14ac:dyDescent="0.2">
      <c r="A175" s="199" t="s">
        <v>134</v>
      </c>
      <c r="B175" s="207">
        <v>15</v>
      </c>
      <c r="C175" s="68">
        <v>10</v>
      </c>
      <c r="D175" s="71">
        <v>4</v>
      </c>
      <c r="E175" s="245">
        <f>((C175*D175)*((C14+C15)/B175))</f>
        <v>7.7333333333333334</v>
      </c>
      <c r="S175" s="4"/>
    </row>
    <row r="176" spans="1:19" ht="12.75" customHeight="1" x14ac:dyDescent="0.2">
      <c r="A176" s="230"/>
      <c r="B176" s="207">
        <v>10</v>
      </c>
      <c r="C176" s="77"/>
      <c r="D176" s="174"/>
      <c r="E176" s="246">
        <f>((C176*D176)*(C16/B176))</f>
        <v>0</v>
      </c>
      <c r="S176" s="4"/>
    </row>
    <row r="177" spans="1:19" ht="12.75" customHeight="1" x14ac:dyDescent="0.2">
      <c r="A177" s="146" t="s">
        <v>123</v>
      </c>
      <c r="B177" s="147"/>
      <c r="C177" s="148"/>
      <c r="D177" s="149"/>
      <c r="E177" s="250">
        <f>E141+E152+E162+E172+E175+E176</f>
        <v>160.73333333333332</v>
      </c>
      <c r="S177" s="4"/>
    </row>
    <row r="178" spans="1:19" ht="12.75" customHeight="1" x14ac:dyDescent="0.2">
      <c r="A178" s="110" t="s">
        <v>32</v>
      </c>
      <c r="B178" s="106"/>
      <c r="C178" s="107"/>
      <c r="D178" s="108"/>
      <c r="E178" s="109"/>
      <c r="F178" s="92"/>
      <c r="S178" s="4"/>
    </row>
    <row r="179" spans="1:19" ht="12.75" customHeight="1" x14ac:dyDescent="0.2">
      <c r="A179" s="40"/>
      <c r="B179" s="236" t="s">
        <v>179</v>
      </c>
      <c r="C179" s="236" t="s">
        <v>276</v>
      </c>
      <c r="D179" s="237" t="s">
        <v>277</v>
      </c>
      <c r="E179" s="7" t="s">
        <v>240</v>
      </c>
      <c r="S179" s="4"/>
    </row>
    <row r="180" spans="1:19" ht="12.75" customHeight="1" x14ac:dyDescent="0.2">
      <c r="A180" s="199" t="s">
        <v>181</v>
      </c>
      <c r="B180" s="218">
        <v>0</v>
      </c>
      <c r="C180" s="172"/>
      <c r="D180" s="173"/>
      <c r="E180" s="274">
        <f>IFERROR(((D180/C180)*($C$14+$C$15))*B180,0)</f>
        <v>0</v>
      </c>
      <c r="S180" s="4"/>
    </row>
    <row r="181" spans="1:19" ht="12.75" customHeight="1" x14ac:dyDescent="0.25">
      <c r="A181" s="199" t="s">
        <v>400</v>
      </c>
      <c r="B181" s="218">
        <v>0</v>
      </c>
      <c r="C181" s="68"/>
      <c r="D181" s="90"/>
      <c r="E181" s="245">
        <f t="shared" ref="E181:E182" si="10">IFERROR(((D181/C181)*($C$14+$C$15))*B181,0)</f>
        <v>0</v>
      </c>
      <c r="H181" s="188" t="s">
        <v>360</v>
      </c>
      <c r="I181" s="177"/>
      <c r="J181" s="177"/>
      <c r="K181" s="177"/>
      <c r="L181" s="178"/>
      <c r="M181" s="179"/>
      <c r="S181" s="4"/>
    </row>
    <row r="182" spans="1:19" ht="12.75" customHeight="1" x14ac:dyDescent="0.25">
      <c r="A182" s="199" t="s">
        <v>399</v>
      </c>
      <c r="B182" s="218">
        <v>0</v>
      </c>
      <c r="C182" s="68"/>
      <c r="D182" s="90"/>
      <c r="E182" s="245">
        <f t="shared" si="10"/>
        <v>0</v>
      </c>
      <c r="H182" s="331" t="s">
        <v>361</v>
      </c>
      <c r="I182" s="332"/>
      <c r="J182" s="181"/>
      <c r="K182" s="182"/>
      <c r="L182" s="333" t="s">
        <v>362</v>
      </c>
      <c r="M182" s="334"/>
      <c r="S182" s="4"/>
    </row>
    <row r="183" spans="1:19" ht="12.75" customHeight="1" x14ac:dyDescent="0.25">
      <c r="A183" s="192"/>
      <c r="B183" s="40" t="s">
        <v>180</v>
      </c>
      <c r="C183" s="134" t="s">
        <v>279</v>
      </c>
      <c r="D183" s="300" t="s">
        <v>278</v>
      </c>
      <c r="E183" s="102"/>
      <c r="H183" s="335" t="s">
        <v>363</v>
      </c>
      <c r="I183" s="181"/>
      <c r="J183" s="181"/>
      <c r="K183" s="181"/>
      <c r="L183" s="332" t="s">
        <v>364</v>
      </c>
      <c r="M183" s="184"/>
      <c r="S183" s="4"/>
    </row>
    <row r="184" spans="1:19" ht="12.75" customHeight="1" x14ac:dyDescent="0.25">
      <c r="A184" s="199" t="s">
        <v>178</v>
      </c>
      <c r="B184" s="207"/>
      <c r="C184" s="68"/>
      <c r="D184" s="90"/>
      <c r="E184" s="245">
        <f>IFERROR(((D184/C184)*($C$14+$C$15))*B184,0)</f>
        <v>0</v>
      </c>
      <c r="H184" s="335" t="s">
        <v>365</v>
      </c>
      <c r="I184" s="181"/>
      <c r="J184" s="181"/>
      <c r="K184" s="181"/>
      <c r="L184" s="332" t="s">
        <v>372</v>
      </c>
      <c r="M184" s="184"/>
      <c r="S184" s="4"/>
    </row>
    <row r="185" spans="1:19" ht="12.75" customHeight="1" x14ac:dyDescent="0.25">
      <c r="A185" s="40"/>
      <c r="B185" s="40"/>
      <c r="C185" s="44"/>
      <c r="D185" s="226" t="s">
        <v>155</v>
      </c>
      <c r="E185" s="7" t="s">
        <v>240</v>
      </c>
      <c r="H185" s="335" t="s">
        <v>366</v>
      </c>
      <c r="I185" s="181"/>
      <c r="J185" s="181"/>
      <c r="K185" s="181"/>
      <c r="L185" s="332" t="s">
        <v>373</v>
      </c>
      <c r="M185" s="184"/>
      <c r="S185" s="4"/>
    </row>
    <row r="186" spans="1:19" ht="12.75" customHeight="1" x14ac:dyDescent="0.25">
      <c r="A186" s="40" t="s">
        <v>213</v>
      </c>
      <c r="B186" s="189"/>
      <c r="C186" s="42"/>
      <c r="D186" s="191">
        <v>0.1</v>
      </c>
      <c r="E186" s="251">
        <f>(E18)*D186</f>
        <v>39.85</v>
      </c>
      <c r="H186" s="335" t="s">
        <v>367</v>
      </c>
      <c r="I186" s="181"/>
      <c r="J186" s="181"/>
      <c r="K186" s="181"/>
      <c r="L186" s="332" t="s">
        <v>374</v>
      </c>
      <c r="M186" s="184"/>
      <c r="S186" s="4"/>
    </row>
    <row r="187" spans="1:19" ht="12.75" customHeight="1" x14ac:dyDescent="0.25">
      <c r="A187" s="138" t="s">
        <v>104</v>
      </c>
      <c r="B187" s="106"/>
      <c r="C187" s="139"/>
      <c r="D187" s="140"/>
      <c r="E187" s="141"/>
      <c r="F187" s="92"/>
      <c r="H187" s="335" t="s">
        <v>368</v>
      </c>
      <c r="I187" s="336"/>
      <c r="J187" s="336"/>
      <c r="K187" s="336"/>
      <c r="L187" s="336" t="s">
        <v>375</v>
      </c>
      <c r="M187" s="338"/>
      <c r="S187" s="4"/>
    </row>
    <row r="188" spans="1:19" ht="12.75" customHeight="1" x14ac:dyDescent="0.25">
      <c r="A188" s="40"/>
      <c r="B188" s="40"/>
      <c r="C188" s="225" t="s">
        <v>125</v>
      </c>
      <c r="D188" s="226" t="s">
        <v>105</v>
      </c>
      <c r="E188" s="54" t="s">
        <v>240</v>
      </c>
      <c r="G188" s="20"/>
      <c r="H188" s="335" t="s">
        <v>369</v>
      </c>
      <c r="I188" s="336"/>
      <c r="J188" s="336"/>
      <c r="K188" s="336"/>
      <c r="L188" s="336" t="s">
        <v>376</v>
      </c>
      <c r="M188" s="338"/>
      <c r="S188" s="4"/>
    </row>
    <row r="189" spans="1:19" ht="12.75" customHeight="1" x14ac:dyDescent="0.25">
      <c r="A189" s="266" t="s">
        <v>45</v>
      </c>
      <c r="B189" s="267"/>
      <c r="C189" s="167">
        <v>1.5</v>
      </c>
      <c r="D189" s="90">
        <v>25</v>
      </c>
      <c r="E189" s="245">
        <f>C189*D189</f>
        <v>37.5</v>
      </c>
      <c r="H189" s="335" t="s">
        <v>370</v>
      </c>
      <c r="I189" s="336"/>
      <c r="J189" s="336"/>
      <c r="K189" s="336"/>
      <c r="L189" s="336" t="s">
        <v>377</v>
      </c>
      <c r="M189" s="338"/>
      <c r="S189" s="4"/>
    </row>
    <row r="190" spans="1:19" ht="12.75" customHeight="1" x14ac:dyDescent="0.25">
      <c r="A190" s="40"/>
      <c r="B190" s="40"/>
      <c r="C190" s="42"/>
      <c r="D190" s="43"/>
      <c r="E190" s="10"/>
      <c r="H190" s="340" t="s">
        <v>371</v>
      </c>
      <c r="I190" s="337"/>
      <c r="J190" s="337"/>
      <c r="K190" s="337"/>
      <c r="L190" s="337" t="s">
        <v>378</v>
      </c>
      <c r="M190" s="339"/>
      <c r="S190" s="4"/>
    </row>
    <row r="191" spans="1:19" ht="12.75" customHeight="1" x14ac:dyDescent="0.25">
      <c r="A191" s="106"/>
      <c r="B191" s="112"/>
      <c r="C191" s="107"/>
      <c r="D191" s="108"/>
      <c r="E191" s="142"/>
      <c r="F191" s="92"/>
      <c r="H191" s="342" t="s">
        <v>379</v>
      </c>
    </row>
    <row r="192" spans="1:19" ht="12.75" customHeight="1" x14ac:dyDescent="0.2">
      <c r="A192" s="33" t="s">
        <v>113</v>
      </c>
      <c r="C192" s="231">
        <v>7.4999999999999997E-2</v>
      </c>
      <c r="E192" s="241">
        <f>(C192*0.67)*(E116+(0.2*E130))</f>
        <v>22.986862500000004</v>
      </c>
      <c r="G192" s="86" t="s">
        <v>59</v>
      </c>
      <c r="H192" s="87"/>
      <c r="I192" s="87"/>
      <c r="J192" s="87"/>
      <c r="K192" s="87"/>
      <c r="L192" s="88"/>
    </row>
    <row r="193" spans="1:13" ht="12.75" customHeight="1" x14ac:dyDescent="0.2">
      <c r="A193" s="15"/>
      <c r="E193" s="6"/>
      <c r="G193" s="4"/>
      <c r="H193" s="4"/>
      <c r="I193" s="45"/>
      <c r="J193" s="45"/>
      <c r="K193" s="4"/>
      <c r="L193" s="45"/>
      <c r="M193" s="45"/>
    </row>
    <row r="194" spans="1:13" ht="12.75" customHeight="1" x14ac:dyDescent="0.2">
      <c r="A194" s="33" t="s">
        <v>85</v>
      </c>
      <c r="B194" s="4"/>
      <c r="C194" s="44"/>
      <c r="D194" s="43"/>
      <c r="E194" s="243">
        <f>E18*0.05</f>
        <v>19.925000000000001</v>
      </c>
    </row>
    <row r="195" spans="1:13" ht="12.75" customHeight="1" x14ac:dyDescent="0.2">
      <c r="A195" s="20" t="s">
        <v>231</v>
      </c>
      <c r="C195" s="16"/>
      <c r="E195" s="243">
        <f>E116+E130+E177+E180+E181+E182+E184+E189+E192</f>
        <v>727.0701958333334</v>
      </c>
    </row>
    <row r="196" spans="1:13" ht="12.75" customHeight="1" x14ac:dyDescent="0.2">
      <c r="A196" s="20" t="s">
        <v>230</v>
      </c>
      <c r="D196" s="16"/>
      <c r="E196" s="243">
        <f>E18-E195</f>
        <v>-328.5701958333334</v>
      </c>
    </row>
    <row r="197" spans="1:13" ht="14.25" x14ac:dyDescent="0.2">
      <c r="A197" s="21"/>
      <c r="C197" s="54"/>
      <c r="D197" s="54"/>
      <c r="E197" s="55"/>
    </row>
    <row r="198" spans="1:13" x14ac:dyDescent="0.2">
      <c r="A198" s="33" t="s">
        <v>218</v>
      </c>
      <c r="B198" s="4"/>
      <c r="C198" s="42"/>
      <c r="D198" s="53"/>
      <c r="E198" s="252">
        <f>E195/(C14+C15)</f>
        <v>250.71386063218395</v>
      </c>
    </row>
    <row r="199" spans="1:13" x14ac:dyDescent="0.2">
      <c r="A199" s="20" t="s">
        <v>219</v>
      </c>
      <c r="B199" s="4"/>
      <c r="E199" s="243">
        <f>E195/(C16+C17)</f>
        <v>301.0642632850242</v>
      </c>
    </row>
    <row r="200" spans="1:13" x14ac:dyDescent="0.2">
      <c r="B200" s="4"/>
    </row>
    <row r="201" spans="1:13" x14ac:dyDescent="0.2">
      <c r="C201" s="355" t="s">
        <v>26</v>
      </c>
      <c r="D201" s="356"/>
      <c r="E201" s="356"/>
      <c r="F201" s="356"/>
      <c r="G201" s="357"/>
    </row>
    <row r="202" spans="1:13" x14ac:dyDescent="0.2">
      <c r="C202" s="74"/>
      <c r="D202" s="75"/>
      <c r="E202" s="75"/>
      <c r="F202" s="75"/>
      <c r="G202" s="76"/>
    </row>
    <row r="203" spans="1:13" x14ac:dyDescent="0.2">
      <c r="C203" s="355" t="s">
        <v>18</v>
      </c>
      <c r="D203" s="356"/>
      <c r="E203" s="356"/>
      <c r="F203" s="356"/>
      <c r="G203" s="357"/>
    </row>
    <row r="204" spans="1:13" x14ac:dyDescent="0.2">
      <c r="A204" s="358" t="s">
        <v>24</v>
      </c>
      <c r="B204" s="359"/>
      <c r="C204" s="23"/>
      <c r="D204" s="23"/>
      <c r="E204" s="23"/>
      <c r="F204" s="23"/>
      <c r="G204" s="23"/>
    </row>
    <row r="205" spans="1:13" x14ac:dyDescent="0.2">
      <c r="A205" s="258" t="s">
        <v>27</v>
      </c>
      <c r="B205" s="259" t="s">
        <v>302</v>
      </c>
      <c r="C205" s="355" t="s">
        <v>26</v>
      </c>
      <c r="D205" s="356"/>
      <c r="E205" s="356"/>
      <c r="F205" s="356"/>
      <c r="G205" s="357"/>
    </row>
    <row r="206" spans="1:13" x14ac:dyDescent="0.2">
      <c r="A206" s="24" t="s">
        <v>21</v>
      </c>
      <c r="B206" s="349">
        <f>C14*1.2</f>
        <v>2.2799999999999998</v>
      </c>
      <c r="C206" s="347">
        <f>(($C$211*$B206)+$E$15)-$E$195</f>
        <v>-341.11019583333342</v>
      </c>
      <c r="D206" s="347">
        <f>(($D$211*$B206)+$E$15)-$E$195</f>
        <v>-303.49019583333342</v>
      </c>
      <c r="E206" s="347">
        <f>(($E$211*$B206)+$E$15)-$E$195</f>
        <v>-265.87019583333341</v>
      </c>
      <c r="F206" s="347">
        <f>(($F$211*$B206)+$E$15)-$E$195</f>
        <v>-228.25019583333335</v>
      </c>
      <c r="G206" s="347">
        <f>(($G$211*$B206)+$E$15)-$E$195</f>
        <v>-190.63019583333346</v>
      </c>
    </row>
    <row r="207" spans="1:13" x14ac:dyDescent="0.2">
      <c r="A207" s="24" t="s">
        <v>20</v>
      </c>
      <c r="B207" s="349">
        <f>C14*1.1</f>
        <v>2.09</v>
      </c>
      <c r="C207" s="347">
        <f>(($C$211*$B207)+$E$15)-$E$195</f>
        <v>-366.19019583333341</v>
      </c>
      <c r="D207" s="347">
        <f>(($D$211*$B207)+$E$15)-$E$195</f>
        <v>-331.70519583333345</v>
      </c>
      <c r="E207" s="347">
        <f>(($E$211*$B207)+$E$15)-$E$195</f>
        <v>-297.22019583333343</v>
      </c>
      <c r="F207" s="347">
        <f>(($F$211*$B207)+$E$15)-$E$195</f>
        <v>-262.73519583333336</v>
      </c>
      <c r="G207" s="347">
        <f>(($G$211*$B207)+$E$15)-$E$195</f>
        <v>-228.25019583333341</v>
      </c>
    </row>
    <row r="208" spans="1:13" x14ac:dyDescent="0.2">
      <c r="A208" s="22"/>
      <c r="B208" s="349">
        <f>C14</f>
        <v>1.9</v>
      </c>
      <c r="C208" s="347">
        <f>(($C$211*$B208)+$E$15)-$E$195</f>
        <v>-391.27019583333345</v>
      </c>
      <c r="D208" s="347">
        <f>(($D$211*$B208)+$E$15)-$E$195</f>
        <v>-359.92019583333342</v>
      </c>
      <c r="E208" s="348">
        <f>(($E$211*$B208)+$E$15)-$E$195</f>
        <v>-328.5701958333334</v>
      </c>
      <c r="F208" s="347">
        <f>(($F$211*$B208)+$E$15)-$E$195</f>
        <v>-297.22019583333338</v>
      </c>
      <c r="G208" s="347">
        <f>(($G$211*$B208)+$E$15)-$E$195</f>
        <v>-265.87019583333341</v>
      </c>
    </row>
    <row r="209" spans="1:7" x14ac:dyDescent="0.2">
      <c r="A209" s="24" t="s">
        <v>22</v>
      </c>
      <c r="B209" s="349">
        <f>C14*0.9</f>
        <v>1.71</v>
      </c>
      <c r="C209" s="347">
        <f>(($C$211*$B209)+$E$15)-$E$195</f>
        <v>-416.35019583333337</v>
      </c>
      <c r="D209" s="347">
        <f>(($D$211*$B209)+$E$15)-$E$195</f>
        <v>-388.1351958333334</v>
      </c>
      <c r="E209" s="347">
        <f>(($E$211*$B209)+$E$15)-$E$195</f>
        <v>-359.92019583333342</v>
      </c>
      <c r="F209" s="347">
        <f>(($F$211*$B209)+$E$15)-$E$195</f>
        <v>-331.70519583333333</v>
      </c>
      <c r="G209" s="347">
        <f>(($G$211*$B209)+$E$15)-$E$195</f>
        <v>-303.49019583333342</v>
      </c>
    </row>
    <row r="210" spans="1:7" x14ac:dyDescent="0.2">
      <c r="A210" s="24" t="s">
        <v>23</v>
      </c>
      <c r="B210" s="349">
        <f>C14*0.8</f>
        <v>1.52</v>
      </c>
      <c r="C210" s="347">
        <f>(($C$211*$B210)+$E$15)-$E$195</f>
        <v>-441.43019583333341</v>
      </c>
      <c r="D210" s="347">
        <f>(($D$211*$B210)+$E$15)-$E$195</f>
        <v>-416.35019583333337</v>
      </c>
      <c r="E210" s="347">
        <f>(($E$211*$B210)+$E$15)-$E$195</f>
        <v>-391.27019583333339</v>
      </c>
      <c r="F210" s="347">
        <f>(($F$211*$B210)+$E$15)-$E$195</f>
        <v>-366.19019583333335</v>
      </c>
      <c r="G210" s="347">
        <f>(($G$211*$B210)+$E$15)-$E$195</f>
        <v>-341.11019583333342</v>
      </c>
    </row>
    <row r="211" spans="1:7" x14ac:dyDescent="0.2">
      <c r="A211" s="257" t="s">
        <v>414</v>
      </c>
      <c r="B211" s="253"/>
      <c r="C211" s="254">
        <f>D14*0.8</f>
        <v>132</v>
      </c>
      <c r="D211" s="254">
        <f>D14*0.9</f>
        <v>148.5</v>
      </c>
      <c r="E211" s="254">
        <f>D14</f>
        <v>165</v>
      </c>
      <c r="F211" s="254">
        <f>D14*1.1</f>
        <v>181.50000000000003</v>
      </c>
      <c r="G211" s="254">
        <f>D14*1.2</f>
        <v>198</v>
      </c>
    </row>
    <row r="212" spans="1:7" x14ac:dyDescent="0.2">
      <c r="A212" s="257" t="s">
        <v>19</v>
      </c>
      <c r="B212" s="253"/>
      <c r="C212" s="255" t="s">
        <v>23</v>
      </c>
      <c r="D212" s="255" t="s">
        <v>22</v>
      </c>
      <c r="E212" s="256"/>
      <c r="F212" s="255" t="s">
        <v>20</v>
      </c>
      <c r="G212" s="255" t="s">
        <v>21</v>
      </c>
    </row>
  </sheetData>
  <sheetProtection algorithmName="SHA-512" hashValue="3GUqjXvFYC4YANR+ydXhxduvtDF0L/t2pLj6yssHJQbg57sM6BtQ3nOady/P0qh+wPRNhaWCJ6IzNB71Ct720Q==" saltValue="n3r2wWfmSjp/j6Q8w1b+5w==" spinCount="100000" sheet="1" objects="1" scenarios="1"/>
  <mergeCells count="4">
    <mergeCell ref="C201:G201"/>
    <mergeCell ref="C203:G203"/>
    <mergeCell ref="A204:B204"/>
    <mergeCell ref="C205:G205"/>
  </mergeCells>
  <hyperlinks>
    <hyperlink ref="I135" r:id="rId1" xr:uid="{00000000-0004-0000-0900-000000000000}"/>
    <hyperlink ref="I142" r:id="rId2" xr:uid="{00000000-0004-0000-0900-000001000000}"/>
    <hyperlink ref="I136" r:id="rId3" xr:uid="{00000000-0004-0000-0900-000002000000}"/>
    <hyperlink ref="I139" r:id="rId4" xr:uid="{00000000-0004-0000-0900-000003000000}"/>
  </hyperlinks>
  <pageMargins left="0.7" right="0.7" top="0.75" bottom="0.75" header="0.3" footer="0.3"/>
  <pageSetup orientation="portrait" verticalDpi="0"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Instructions</vt:lpstr>
      <vt:lpstr>Fertilizer Cost Calculator</vt:lpstr>
      <vt:lpstr>Corn</vt:lpstr>
      <vt:lpstr>Corn Silage</vt:lpstr>
      <vt:lpstr>Soybeans</vt:lpstr>
      <vt:lpstr>Small Grain</vt:lpstr>
      <vt:lpstr>Seeding Year Haylage</vt:lpstr>
      <vt:lpstr>Established Haylage</vt:lpstr>
      <vt:lpstr>Seeding Year Hay</vt:lpstr>
      <vt:lpstr>Established Hay</vt:lpstr>
      <vt:lpstr>Annual Forage Crop</vt:lpstr>
      <vt:lpstr>Winter Cereal Rye </vt:lpstr>
      <vt:lpstr>Cool Season Cocktail Mix</vt:lpstr>
      <vt:lpstr>Summer Warm Season Cocktail Mix</vt:lpstr>
      <vt:lpstr>Late-Summer Seeded Oats &amp; Peas</vt:lpstr>
      <vt:lpstr>Corn!Print_Area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Kevin JAREK</cp:lastModifiedBy>
  <cp:lastPrinted>2025-01-23T16:29:43Z</cp:lastPrinted>
  <dcterms:created xsi:type="dcterms:W3CDTF">2008-01-03T21:05:03Z</dcterms:created>
  <dcterms:modified xsi:type="dcterms:W3CDTF">2025-03-17T12:53:06Z</dcterms:modified>
</cp:coreProperties>
</file>